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 activeTab="1"/>
  </bookViews>
  <sheets>
    <sheet name="OCAK" sheetId="1" r:id="rId1"/>
    <sheet name="ŞUBA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5" i="2" l="1"/>
  <c r="M33" i="2"/>
  <c r="M32" i="2"/>
  <c r="I38" i="2"/>
  <c r="I35" i="2"/>
  <c r="H32" i="2"/>
  <c r="G32" i="2"/>
  <c r="E54" i="2"/>
  <c r="E53" i="2"/>
  <c r="E52" i="2"/>
  <c r="E49" i="2"/>
  <c r="E50" i="2"/>
  <c r="E51" i="2"/>
  <c r="E48" i="2"/>
  <c r="D52" i="2"/>
  <c r="D55" i="2"/>
  <c r="E55" i="2" l="1"/>
  <c r="D56" i="2"/>
  <c r="E56" i="2"/>
  <c r="Q36" i="2"/>
  <c r="Q37" i="2"/>
  <c r="N36" i="2"/>
  <c r="M37" i="2"/>
  <c r="O32" i="2" l="1"/>
  <c r="O33" i="2"/>
  <c r="P33" i="2" s="1"/>
  <c r="S33" i="2" s="1"/>
  <c r="Q34" i="2"/>
  <c r="Q39" i="2"/>
  <c r="Q33" i="2" l="1"/>
  <c r="P32" i="2"/>
  <c r="E11" i="2"/>
  <c r="D37" i="2"/>
  <c r="D36" i="2"/>
  <c r="D39" i="2" s="1"/>
  <c r="D35" i="2"/>
  <c r="M34" i="2"/>
  <c r="M35" i="2" s="1"/>
  <c r="D34" i="2"/>
  <c r="D33" i="2"/>
  <c r="D32" i="2"/>
  <c r="U28" i="2"/>
  <c r="T27" i="2"/>
  <c r="E27" i="2"/>
  <c r="F27" i="2" s="1"/>
  <c r="G27" i="2" s="1"/>
  <c r="U26" i="2"/>
  <c r="R26" i="2"/>
  <c r="N26" i="2"/>
  <c r="O26" i="2" s="1"/>
  <c r="P26" i="2" s="1"/>
  <c r="K26" i="2"/>
  <c r="L26" i="2" s="1"/>
  <c r="M26" i="2" s="1"/>
  <c r="H26" i="2"/>
  <c r="I26" i="2" s="1"/>
  <c r="J26" i="2" s="1"/>
  <c r="F26" i="2"/>
  <c r="G26" i="2" s="1"/>
  <c r="E26" i="2"/>
  <c r="B26" i="2"/>
  <c r="C26" i="2" s="1"/>
  <c r="D26" i="2" s="1"/>
  <c r="U25" i="2"/>
  <c r="R25" i="2"/>
  <c r="O25" i="2"/>
  <c r="P25" i="2" s="1"/>
  <c r="K25" i="2"/>
  <c r="L25" i="2" s="1"/>
  <c r="M25" i="2" s="1"/>
  <c r="H25" i="2"/>
  <c r="I25" i="2" s="1"/>
  <c r="J25" i="2" s="1"/>
  <c r="F25" i="2"/>
  <c r="G25" i="2" s="1"/>
  <c r="E25" i="2"/>
  <c r="B25" i="2"/>
  <c r="C25" i="2" s="1"/>
  <c r="D25" i="2" s="1"/>
  <c r="U24" i="2"/>
  <c r="R24" i="2"/>
  <c r="Q24" i="2"/>
  <c r="O24" i="2"/>
  <c r="P24" i="2" s="1"/>
  <c r="K24" i="2"/>
  <c r="L24" i="2" s="1"/>
  <c r="M24" i="2" s="1"/>
  <c r="I24" i="2"/>
  <c r="J24" i="2" s="1"/>
  <c r="H24" i="2"/>
  <c r="G24" i="2"/>
  <c r="F24" i="2"/>
  <c r="E24" i="2"/>
  <c r="B24" i="2"/>
  <c r="C24" i="2" s="1"/>
  <c r="D24" i="2" s="1"/>
  <c r="U23" i="2"/>
  <c r="R23" i="2"/>
  <c r="P23" i="2"/>
  <c r="O23" i="2"/>
  <c r="K23" i="2"/>
  <c r="L23" i="2" s="1"/>
  <c r="M23" i="2" s="1"/>
  <c r="H23" i="2"/>
  <c r="I23" i="2" s="1"/>
  <c r="J23" i="2" s="1"/>
  <c r="G23" i="2"/>
  <c r="F23" i="2"/>
  <c r="E23" i="2"/>
  <c r="B23" i="2"/>
  <c r="C23" i="2" s="1"/>
  <c r="D23" i="2" s="1"/>
  <c r="R22" i="2"/>
  <c r="O22" i="2"/>
  <c r="P22" i="2" s="1"/>
  <c r="K22" i="2"/>
  <c r="L22" i="2" s="1"/>
  <c r="M22" i="2" s="1"/>
  <c r="H22" i="2"/>
  <c r="I22" i="2" s="1"/>
  <c r="J22" i="2" s="1"/>
  <c r="F22" i="2"/>
  <c r="G22" i="2" s="1"/>
  <c r="E22" i="2"/>
  <c r="B22" i="2"/>
  <c r="C22" i="2" s="1"/>
  <c r="D22" i="2" s="1"/>
  <c r="U21" i="2"/>
  <c r="R21" i="2"/>
  <c r="Q21" i="2"/>
  <c r="P21" i="2"/>
  <c r="O21" i="2"/>
  <c r="N21" i="2"/>
  <c r="L21" i="2"/>
  <c r="M21" i="2" s="1"/>
  <c r="H21" i="2"/>
  <c r="I21" i="2" s="1"/>
  <c r="J21" i="2" s="1"/>
  <c r="F21" i="2"/>
  <c r="G21" i="2" s="1"/>
  <c r="E21" i="2"/>
  <c r="B21" i="2"/>
  <c r="C21" i="2" s="1"/>
  <c r="D21" i="2" s="1"/>
  <c r="U20" i="2"/>
  <c r="R20" i="2"/>
  <c r="O20" i="2"/>
  <c r="P20" i="2" s="1"/>
  <c r="N20" i="2"/>
  <c r="L20" i="2"/>
  <c r="M20" i="2" s="1"/>
  <c r="K20" i="2"/>
  <c r="H20" i="2"/>
  <c r="I20" i="2" s="1"/>
  <c r="J20" i="2" s="1"/>
  <c r="E20" i="2"/>
  <c r="F20" i="2" s="1"/>
  <c r="G20" i="2" s="1"/>
  <c r="C20" i="2"/>
  <c r="D20" i="2" s="1"/>
  <c r="B20" i="2"/>
  <c r="R19" i="2"/>
  <c r="O19" i="2"/>
  <c r="P19" i="2" s="1"/>
  <c r="K19" i="2"/>
  <c r="L19" i="2" s="1"/>
  <c r="M19" i="2" s="1"/>
  <c r="H19" i="2"/>
  <c r="I19" i="2" s="1"/>
  <c r="J19" i="2" s="1"/>
  <c r="F19" i="2"/>
  <c r="G19" i="2" s="1"/>
  <c r="E19" i="2"/>
  <c r="B19" i="2"/>
  <c r="C19" i="2" s="1"/>
  <c r="D19" i="2" s="1"/>
  <c r="U18" i="2"/>
  <c r="R18" i="2"/>
  <c r="P18" i="2"/>
  <c r="O18" i="2"/>
  <c r="K18" i="2"/>
  <c r="L18" i="2" s="1"/>
  <c r="M18" i="2" s="1"/>
  <c r="H18" i="2"/>
  <c r="I18" i="2" s="1"/>
  <c r="J18" i="2" s="1"/>
  <c r="G18" i="2"/>
  <c r="F18" i="2"/>
  <c r="E18" i="2"/>
  <c r="B18" i="2"/>
  <c r="C18" i="2" s="1"/>
  <c r="D18" i="2" s="1"/>
  <c r="R17" i="2"/>
  <c r="O17" i="2"/>
  <c r="P17" i="2" s="1"/>
  <c r="M17" i="2"/>
  <c r="K17" i="2"/>
  <c r="L17" i="2" s="1"/>
  <c r="J17" i="2"/>
  <c r="I17" i="2"/>
  <c r="E17" i="2"/>
  <c r="F17" i="2" s="1"/>
  <c r="G17" i="2" s="1"/>
  <c r="D17" i="2"/>
  <c r="C17" i="2"/>
  <c r="O16" i="2"/>
  <c r="P16" i="2" s="1"/>
  <c r="M16" i="2"/>
  <c r="L16" i="2"/>
  <c r="J16" i="2"/>
  <c r="I16" i="2"/>
  <c r="G16" i="2"/>
  <c r="F16" i="2"/>
  <c r="C16" i="2"/>
  <c r="D16" i="2" s="1"/>
  <c r="B16" i="2"/>
  <c r="R15" i="2"/>
  <c r="Q15" i="2"/>
  <c r="P15" i="2"/>
  <c r="O15" i="2"/>
  <c r="K15" i="2"/>
  <c r="L15" i="2" s="1"/>
  <c r="M15" i="2" s="1"/>
  <c r="I15" i="2"/>
  <c r="J15" i="2" s="1"/>
  <c r="H15" i="2"/>
  <c r="G15" i="2"/>
  <c r="F15" i="2"/>
  <c r="E15" i="2"/>
  <c r="B15" i="2"/>
  <c r="C15" i="2" s="1"/>
  <c r="D15" i="2" s="1"/>
  <c r="U14" i="2"/>
  <c r="S14" i="2"/>
  <c r="R14" i="2"/>
  <c r="Q14" i="2"/>
  <c r="N14" i="2"/>
  <c r="O14" i="2" s="1"/>
  <c r="P14" i="2" s="1"/>
  <c r="K14" i="2"/>
  <c r="L14" i="2" s="1"/>
  <c r="M14" i="2" s="1"/>
  <c r="I14" i="2"/>
  <c r="J14" i="2" s="1"/>
  <c r="H14" i="2"/>
  <c r="F14" i="2"/>
  <c r="G14" i="2" s="1"/>
  <c r="E14" i="2"/>
  <c r="B14" i="2"/>
  <c r="C14" i="2" s="1"/>
  <c r="D14" i="2" s="1"/>
  <c r="R13" i="2"/>
  <c r="O13" i="2"/>
  <c r="P13" i="2" s="1"/>
  <c r="L13" i="2"/>
  <c r="M13" i="2" s="1"/>
  <c r="K13" i="2"/>
  <c r="J13" i="2"/>
  <c r="I13" i="2"/>
  <c r="E13" i="2"/>
  <c r="F13" i="2" s="1"/>
  <c r="G13" i="2" s="1"/>
  <c r="B13" i="2"/>
  <c r="C13" i="2" s="1"/>
  <c r="D13" i="2" s="1"/>
  <c r="R12" i="2"/>
  <c r="P12" i="2"/>
  <c r="O12" i="2"/>
  <c r="K12" i="2"/>
  <c r="L12" i="2" s="1"/>
  <c r="M12" i="2" s="1"/>
  <c r="I12" i="2"/>
  <c r="J12" i="2" s="1"/>
  <c r="H12" i="2"/>
  <c r="G12" i="2"/>
  <c r="F12" i="2"/>
  <c r="E12" i="2"/>
  <c r="B12" i="2"/>
  <c r="C12" i="2" s="1"/>
  <c r="D12" i="2" s="1"/>
  <c r="R11" i="2"/>
  <c r="P11" i="2"/>
  <c r="O11" i="2"/>
  <c r="M11" i="2"/>
  <c r="K11" i="2"/>
  <c r="L11" i="2" s="1"/>
  <c r="H11" i="2"/>
  <c r="I11" i="2" s="1"/>
  <c r="J11" i="2" s="1"/>
  <c r="F11" i="2"/>
  <c r="G11" i="2" s="1"/>
  <c r="B11" i="2"/>
  <c r="C11" i="2" s="1"/>
  <c r="D11" i="2" s="1"/>
  <c r="R10" i="2"/>
  <c r="Q10" i="2"/>
  <c r="N10" i="2"/>
  <c r="O10" i="2" s="1"/>
  <c r="P10" i="2" s="1"/>
  <c r="K10" i="2"/>
  <c r="L10" i="2" s="1"/>
  <c r="M10" i="2" s="1"/>
  <c r="I10" i="2"/>
  <c r="J10" i="2" s="1"/>
  <c r="H10" i="2"/>
  <c r="F10" i="2"/>
  <c r="G10" i="2" s="1"/>
  <c r="E10" i="2"/>
  <c r="B10" i="2"/>
  <c r="C10" i="2" s="1"/>
  <c r="D10" i="2" s="1"/>
  <c r="U9" i="2"/>
  <c r="R9" i="2"/>
  <c r="Q9" i="2"/>
  <c r="N9" i="2"/>
  <c r="O9" i="2" s="1"/>
  <c r="P9" i="2" s="1"/>
  <c r="K9" i="2"/>
  <c r="L9" i="2" s="1"/>
  <c r="M9" i="2" s="1"/>
  <c r="I9" i="2"/>
  <c r="J9" i="2" s="1"/>
  <c r="H9" i="2"/>
  <c r="E9" i="2"/>
  <c r="F9" i="2" s="1"/>
  <c r="G9" i="2" s="1"/>
  <c r="B9" i="2"/>
  <c r="C9" i="2" s="1"/>
  <c r="D9" i="2" s="1"/>
  <c r="U8" i="2"/>
  <c r="U27" i="2" s="1"/>
  <c r="R8" i="2"/>
  <c r="Q8" i="2"/>
  <c r="O8" i="2"/>
  <c r="P8" i="2" s="1"/>
  <c r="K8" i="2"/>
  <c r="L8" i="2" s="1"/>
  <c r="M8" i="2" s="1"/>
  <c r="I8" i="2"/>
  <c r="J8" i="2" s="1"/>
  <c r="H8" i="2"/>
  <c r="F8" i="2"/>
  <c r="G8" i="2" s="1"/>
  <c r="E8" i="2"/>
  <c r="B8" i="2"/>
  <c r="C8" i="2" s="1"/>
  <c r="D8" i="2" s="1"/>
  <c r="R7" i="2"/>
  <c r="O7" i="2"/>
  <c r="P7" i="2" s="1"/>
  <c r="L7" i="2"/>
  <c r="M7" i="2" s="1"/>
  <c r="K7" i="2"/>
  <c r="H7" i="2"/>
  <c r="I7" i="2" s="1"/>
  <c r="J7" i="2" s="1"/>
  <c r="E7" i="2"/>
  <c r="F7" i="2" s="1"/>
  <c r="G7" i="2" s="1"/>
  <c r="B7" i="2"/>
  <c r="C7" i="2" s="1"/>
  <c r="D7" i="2" s="1"/>
  <c r="U6" i="2"/>
  <c r="R6" i="2"/>
  <c r="Q6" i="2"/>
  <c r="O6" i="2"/>
  <c r="P6" i="2" s="1"/>
  <c r="L6" i="2"/>
  <c r="M6" i="2" s="1"/>
  <c r="I6" i="2"/>
  <c r="J6" i="2" s="1"/>
  <c r="G6" i="2"/>
  <c r="E6" i="2"/>
  <c r="F6" i="2" s="1"/>
  <c r="B6" i="2"/>
  <c r="C6" i="2" s="1"/>
  <c r="D6" i="2" s="1"/>
  <c r="P5" i="2"/>
  <c r="O5" i="2"/>
  <c r="M5" i="2"/>
  <c r="L5" i="2"/>
  <c r="I5" i="2"/>
  <c r="J5" i="2" s="1"/>
  <c r="F5" i="2"/>
  <c r="G5" i="2" s="1"/>
  <c r="C5" i="2"/>
  <c r="D5" i="2" s="1"/>
  <c r="S4" i="2"/>
  <c r="R4" i="2"/>
  <c r="N4" i="2"/>
  <c r="N27" i="2" s="1"/>
  <c r="O27" i="2" s="1"/>
  <c r="P27" i="2" s="1"/>
  <c r="K4" i="2"/>
  <c r="L4" i="2" s="1"/>
  <c r="M4" i="2" s="1"/>
  <c r="J4" i="2"/>
  <c r="H4" i="2"/>
  <c r="I4" i="2" s="1"/>
  <c r="E4" i="2"/>
  <c r="F4" i="2" s="1"/>
  <c r="G4" i="2" s="1"/>
  <c r="B4" i="2"/>
  <c r="U3" i="2"/>
  <c r="R3" i="2"/>
  <c r="Q3" i="2"/>
  <c r="Q27" i="2" s="1"/>
  <c r="G36" i="2" s="1"/>
  <c r="I36" i="2" s="1"/>
  <c r="I39" i="2" s="1"/>
  <c r="O3" i="2"/>
  <c r="P3" i="2" s="1"/>
  <c r="K3" i="2"/>
  <c r="H3" i="2"/>
  <c r="I3" i="2" s="1"/>
  <c r="J3" i="2" s="1"/>
  <c r="F3" i="2"/>
  <c r="G3" i="2" s="1"/>
  <c r="E3" i="2"/>
  <c r="D3" i="2"/>
  <c r="C3" i="2"/>
  <c r="B3" i="2"/>
  <c r="Q32" i="2" l="1"/>
  <c r="Q40" i="2" s="1"/>
  <c r="S32" i="2"/>
  <c r="B27" i="2"/>
  <c r="D40" i="2"/>
  <c r="H27" i="2"/>
  <c r="I27" i="2" s="1"/>
  <c r="J27" i="2" s="1"/>
  <c r="K27" i="2"/>
  <c r="L27" i="2" s="1"/>
  <c r="M27" i="2" s="1"/>
  <c r="L3" i="2"/>
  <c r="M3" i="2" s="1"/>
  <c r="O4" i="2"/>
  <c r="P4" i="2" s="1"/>
  <c r="C4" i="2"/>
  <c r="D4" i="2" s="1"/>
  <c r="U29" i="2"/>
  <c r="G34" i="2"/>
  <c r="I34" i="2" s="1"/>
  <c r="U30" i="2"/>
  <c r="R27" i="2"/>
  <c r="S27" i="2"/>
  <c r="G37" i="2" s="1"/>
  <c r="I37" i="2" s="1"/>
  <c r="E29" i="1"/>
  <c r="G33" i="2" l="1"/>
  <c r="I33" i="2" s="1"/>
  <c r="R28" i="2"/>
  <c r="C27" i="2"/>
  <c r="D27" i="2" s="1"/>
  <c r="I32" i="2"/>
  <c r="J35" i="2" s="1"/>
  <c r="F28" i="2"/>
  <c r="H28" i="2" s="1"/>
  <c r="F57" i="1"/>
  <c r="F55" i="1"/>
  <c r="F60" i="1"/>
  <c r="F62" i="1"/>
  <c r="F61" i="1"/>
  <c r="F66" i="1"/>
  <c r="E66" i="1"/>
  <c r="D66" i="1"/>
  <c r="D53" i="1"/>
  <c r="E53" i="1" s="1"/>
  <c r="D52" i="1"/>
  <c r="I40" i="2" l="1"/>
  <c r="I54" i="1"/>
  <c r="F53" i="1"/>
  <c r="E52" i="1"/>
  <c r="I53" i="1" s="1"/>
  <c r="T42" i="1"/>
  <c r="U31" i="1"/>
  <c r="U30" i="1"/>
  <c r="P39" i="1" s="1"/>
  <c r="P41" i="1" s="1"/>
  <c r="P42" i="1" s="1"/>
  <c r="Q29" i="1"/>
  <c r="R29" i="1"/>
  <c r="R3" i="1"/>
  <c r="K3" i="1"/>
  <c r="E3" i="1"/>
  <c r="R32" i="1"/>
  <c r="B3" i="1"/>
  <c r="L40" i="1"/>
  <c r="F45" i="1"/>
  <c r="D43" i="1"/>
  <c r="B41" i="1"/>
  <c r="D41" i="1"/>
  <c r="F41" i="1"/>
  <c r="I43" i="1"/>
  <c r="H41" i="1"/>
  <c r="I41" i="1"/>
  <c r="F52" i="1" l="1"/>
  <c r="F54" i="1" s="1"/>
  <c r="F56" i="1" l="1"/>
  <c r="F58" i="1" s="1"/>
  <c r="F63" i="1"/>
  <c r="T31" i="1" l="1"/>
  <c r="N31" i="1"/>
  <c r="H31" i="1"/>
  <c r="U32" i="1"/>
  <c r="T32" i="1"/>
  <c r="Q32" i="1"/>
  <c r="N32" i="1"/>
  <c r="K32" i="1"/>
  <c r="H32" i="1"/>
  <c r="E32" i="1"/>
  <c r="B32" i="1"/>
  <c r="U29" i="1"/>
  <c r="K29" i="1"/>
  <c r="H29" i="1"/>
  <c r="B29" i="1"/>
  <c r="U28" i="1" l="1"/>
  <c r="R28" i="1"/>
  <c r="K28" i="1"/>
  <c r="H28" i="1"/>
  <c r="E28" i="1"/>
  <c r="B28" i="1"/>
  <c r="E27" i="1"/>
  <c r="R27" i="1"/>
  <c r="N27" i="1"/>
  <c r="K27" i="1"/>
  <c r="H27" i="1"/>
  <c r="B27" i="1"/>
  <c r="U26" i="1" l="1"/>
  <c r="R26" i="1"/>
  <c r="N26" i="1"/>
  <c r="K26" i="1"/>
  <c r="H26" i="1"/>
  <c r="E26" i="1"/>
  <c r="B26" i="1"/>
  <c r="U25" i="1"/>
  <c r="R25" i="1"/>
  <c r="K25" i="1"/>
  <c r="H25" i="1"/>
  <c r="E25" i="1"/>
  <c r="B25" i="1"/>
  <c r="U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U20" i="1" l="1"/>
  <c r="R20" i="1"/>
  <c r="N20" i="1"/>
  <c r="K20" i="1"/>
  <c r="H20" i="1"/>
  <c r="E20" i="1"/>
  <c r="B20" i="1"/>
  <c r="R19" i="1" l="1"/>
  <c r="E19" i="1" l="1"/>
  <c r="B19" i="1"/>
  <c r="U18" i="1"/>
  <c r="T18" i="1"/>
  <c r="R18" i="1"/>
  <c r="Q18" i="1"/>
  <c r="N18" i="1"/>
  <c r="K18" i="1"/>
  <c r="H18" i="1"/>
  <c r="E18" i="1"/>
  <c r="B18" i="1"/>
  <c r="K17" i="1"/>
  <c r="U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U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U9" i="1"/>
  <c r="R9" i="1"/>
  <c r="Q9" i="1"/>
  <c r="K9" i="1"/>
  <c r="H9" i="1"/>
  <c r="E9" i="1"/>
  <c r="B9" i="1"/>
  <c r="U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U6" i="1"/>
  <c r="R6" i="1"/>
  <c r="Q6" i="1"/>
  <c r="B6" i="1"/>
  <c r="U5" i="1"/>
  <c r="R5" i="1"/>
  <c r="Q5" i="1"/>
  <c r="N5" i="1"/>
  <c r="K5" i="1"/>
  <c r="H5" i="1"/>
  <c r="E5" i="1"/>
  <c r="B5" i="1"/>
  <c r="R30" i="1" l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0" i="1"/>
  <c r="K31" i="1" s="1"/>
  <c r="H3" i="1"/>
  <c r="H30" i="1" s="1"/>
  <c r="E30" i="1"/>
  <c r="B30" i="1"/>
  <c r="T30" i="1"/>
  <c r="Q30" i="1"/>
  <c r="N30" i="1"/>
  <c r="R39" i="1" l="1"/>
  <c r="R41" i="1" s="1"/>
  <c r="Q31" i="1"/>
  <c r="T39" i="1"/>
  <c r="T41" i="1" s="1"/>
  <c r="R31" i="1"/>
  <c r="N39" i="1"/>
  <c r="N41" i="1" s="1"/>
  <c r="N42" i="1" s="1"/>
  <c r="E31" i="1"/>
  <c r="B31" i="1"/>
  <c r="L39" i="1"/>
  <c r="L41" i="1" s="1"/>
  <c r="C30" i="1"/>
  <c r="L3" i="1"/>
  <c r="M3" i="1" s="1"/>
  <c r="C3" i="1"/>
  <c r="D3" i="1" s="1"/>
  <c r="F3" i="1"/>
  <c r="G3" i="1" s="1"/>
  <c r="I3" i="1"/>
  <c r="J3" i="1" s="1"/>
  <c r="O30" i="1"/>
  <c r="P30" i="1" s="1"/>
  <c r="T43" i="1" l="1"/>
  <c r="L42" i="1"/>
  <c r="N43" i="1"/>
  <c r="P45" i="1" s="1"/>
  <c r="L30" i="1"/>
  <c r="M30" i="1" s="1"/>
  <c r="D30" i="1"/>
  <c r="I30" i="1"/>
  <c r="J30" i="1" s="1"/>
  <c r="F30" i="1"/>
  <c r="G30" i="1" s="1"/>
</calcChain>
</file>

<file path=xl/sharedStrings.xml><?xml version="1.0" encoding="utf-8"?>
<sst xmlns="http://schemas.openxmlformats.org/spreadsheetml/2006/main" count="117" uniqueCount="56">
  <si>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</si>
  <si>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</si>
  <si>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</si>
  <si>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</si>
  <si>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</si>
  <si>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</si>
  <si>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</si>
  <si>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</si>
  <si>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</si>
  <si>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</si>
  <si>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</si>
  <si>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</si>
  <si>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</si>
  <si>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</si>
  <si>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</si>
  <si>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</si>
  <si>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</si>
  <si>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</si>
  <si>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</si>
  <si>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</si>
  <si>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ÖKC 1</t>
  </si>
  <si>
    <t>ÖKC 2</t>
  </si>
  <si>
    <t>YÜZDE 10</t>
  </si>
  <si>
    <t>YÜZDE 20</t>
  </si>
  <si>
    <t>FTLI</t>
  </si>
  <si>
    <t>KASA</t>
  </si>
  <si>
    <t>KK</t>
  </si>
  <si>
    <t>NEVİN</t>
  </si>
  <si>
    <t>GİB</t>
  </si>
  <si>
    <t>(aralık 2024 den devir gelen)</t>
  </si>
  <si>
    <t>MİZAN</t>
  </si>
  <si>
    <t>İSKONTO</t>
  </si>
  <si>
    <t>MATRAH</t>
  </si>
  <si>
    <t>KDV</t>
  </si>
  <si>
    <t>KASA KAHVE</t>
  </si>
  <si>
    <t>KDV DAHİL HASILAT</t>
  </si>
  <si>
    <t>L</t>
  </si>
  <si>
    <t>CARİ 90.470 TL</t>
  </si>
  <si>
    <t>GİB ÖKC RAPOR KARŞILAŞTIRMA</t>
  </si>
  <si>
    <t>NEVİN RAPOR KARŞILAŞTIRMA</t>
  </si>
  <si>
    <t>MİZAN RAPOR KARŞILAŞTIRMA</t>
  </si>
  <si>
    <t>1. ÖKC</t>
  </si>
  <si>
    <t>2. ÖKC</t>
  </si>
  <si>
    <t>TOPLAM</t>
  </si>
  <si>
    <t>KDV HRÇ</t>
  </si>
  <si>
    <t>FATURA</t>
  </si>
  <si>
    <t>CARİ</t>
  </si>
  <si>
    <t>ÖKC</t>
  </si>
  <si>
    <t>**mart ayına devir ft: 16.620 tl**</t>
  </si>
  <si>
    <t>KAHVE</t>
  </si>
  <si>
    <t>KASA KHV</t>
  </si>
  <si>
    <t>Y. KARTI</t>
  </si>
  <si>
    <t>YEMEK KARTI FARKI</t>
  </si>
  <si>
    <t>tola</t>
  </si>
  <si>
    <t>k.kahve</t>
  </si>
  <si>
    <t>FATURA-Y.KARTI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</si>
</sst>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5" xfId="0" applyNumberFormat="1" applyBorder="1"/>
    <xf numFmtId="4" fontId="0" fillId="0" borderId="6" xfId="0" applyNumberFormat="1" applyBorder="1"/>
    <xf numFmtId="0" fontId="0" fillId="0" borderId="7" xfId="0" applyBorder="1" applyAlignment="1">
      <alignment horizontal="center"/>
    </xf>
    <xf numFmtId="4" fontId="0" fillId="0" borderId="0" xfId="0" applyNumberFormat="1" applyBorder="1"/>
    <xf numFmtId="4" fontId="0" fillId="0" borderId="8" xfId="0" applyNumberFormat="1" applyBorder="1"/>
    <xf numFmtId="0" fontId="0" fillId="0" borderId="0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1" fillId="0" borderId="7" xfId="0" applyFont="1" applyBorder="1" applyAlignment="1">
      <alignment horizontal="center"/>
    </xf>
    <xf numFmtId="4" fontId="1" fillId="0" borderId="0" xfId="0" applyNumberFormat="1" applyFont="1" applyBorder="1"/>
    <xf numFmtId="4" fontId="1" fillId="0" borderId="8" xfId="0" applyNumberFormat="1" applyFont="1" applyBorder="1"/>
    <xf numFmtId="4" fontId="2" fillId="0" borderId="5" xfId="0" applyNumberFormat="1" applyFont="1" applyBorder="1"/>
    <xf numFmtId="9" fontId="0" fillId="0" borderId="0" xfId="0" applyNumberFormat="1" applyAlignment="1">
      <alignment horizontal="center"/>
    </xf>
    <xf numFmtId="0" fontId="1" fillId="0" borderId="0" xfId="0" applyFont="1"/>
    <xf numFmtId="9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12" xfId="0" applyNumberFormat="1" applyFill="1" applyBorder="1"/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9" fontId="0" fillId="0" borderId="7" xfId="0" applyNumberFormat="1" applyFill="1" applyBorder="1" applyAlignment="1">
      <alignment horizontal="center"/>
    </xf>
    <xf numFmtId="4" fontId="0" fillId="0" borderId="0" xfId="0" applyNumberFormat="1" applyFill="1" applyBorder="1"/>
    <xf numFmtId="4" fontId="0" fillId="0" borderId="8" xfId="0" applyNumberFormat="1" applyFill="1" applyBorder="1"/>
    <xf numFmtId="0" fontId="0" fillId="0" borderId="7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4" fontId="1" fillId="0" borderId="8" xfId="0" applyNumberFormat="1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/>
    <xf numFmtId="0" fontId="1" fillId="0" borderId="10" xfId="0" applyFont="1" applyFill="1" applyBorder="1"/>
    <xf numFmtId="4" fontId="1" fillId="0" borderId="11" xfId="0" applyNumberFormat="1" applyFont="1" applyFill="1" applyBorder="1"/>
    <xf numFmtId="0" fontId="1" fillId="4" borderId="0" xfId="0" applyFont="1" applyFill="1"/>
    <xf numFmtId="4" fontId="0" fillId="0" borderId="0" xfId="0" applyNumberFormat="1" applyFill="1" applyAlignment="1">
      <alignment horizontal="center"/>
    </xf>
    <xf numFmtId="4" fontId="0" fillId="4" borderId="0" xfId="0" applyNumberFormat="1" applyFill="1"/>
    <xf numFmtId="4" fontId="0" fillId="4" borderId="8" xfId="0" applyNumberFormat="1" applyFill="1" applyBorder="1"/>
    <xf numFmtId="4" fontId="0" fillId="4" borderId="0" xfId="0" applyNumberFormat="1" applyFill="1" applyBorder="1"/>
    <xf numFmtId="4" fontId="1" fillId="4" borderId="1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topLeftCell="A31" workbookViewId="0">
      <selection activeCell="E66" sqref="E66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4" width="11.5546875" bestFit="1" customWidth="1"/>
    <col min="5" max="5" width="15.109375" customWidth="1"/>
    <col min="6" max="6" width="11.5546875" customWidth="1"/>
    <col min="7" max="7" width="10" customWidth="1"/>
    <col min="8" max="8" width="10.33203125" customWidth="1"/>
    <col min="9" max="9" width="11.5546875" bestFit="1" customWidth="1"/>
    <col min="10" max="10" width="10" bestFit="1" customWidth="1"/>
    <col min="11" max="11" width="10.109375" bestFit="1" customWidth="1"/>
    <col min="12" max="12" width="11.5546875" bestFit="1" customWidth="1"/>
    <col min="13" max="13" width="9" bestFit="1" customWidth="1"/>
    <col min="14" max="14" width="11.5546875" bestFit="1" customWidth="1"/>
    <col min="15" max="15" width="9" bestFit="1" customWidth="1"/>
    <col min="16" max="16" width="10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/>
      <c r="T1" s="81" t="s">
        <v>8</v>
      </c>
      <c r="U1" s="82"/>
      <c r="V1" s="13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35"/>
      <c r="T2" s="12" t="s">
        <v>6</v>
      </c>
      <c r="U2" s="14" t="s">
        <v>9</v>
      </c>
      <c r="V2" s="3"/>
    </row>
    <row r="3" spans="1:22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7760+1010+5240</f>
        <v>14010</v>
      </c>
      <c r="F3" s="9">
        <f>E3/1.2</f>
        <v>11675</v>
      </c>
      <c r="G3" s="9">
        <f>F3*0.2</f>
        <v>2335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2800+400+800</f>
        <v>4000</v>
      </c>
      <c r="L3" s="9">
        <f>K3/1.2</f>
        <v>3333.3333333333335</v>
      </c>
      <c r="M3" s="9">
        <f>L3*0.2</f>
        <v>666.66666666666674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34460+1485+6040</f>
        <v>41985</v>
      </c>
      <c r="S3" s="11"/>
      <c r="T3" s="9">
        <v>0</v>
      </c>
      <c r="U3" s="18">
        <v>9975</v>
      </c>
      <c r="V3" s="3"/>
    </row>
    <row r="4" spans="1:22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11"/>
      <c r="T4" s="9">
        <v>0</v>
      </c>
      <c r="U4" s="15">
        <v>0</v>
      </c>
      <c r="V4" s="3"/>
    </row>
    <row r="5" spans="1:22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11"/>
      <c r="T5" s="9">
        <v>0</v>
      </c>
      <c r="U5" s="18">
        <f>19620+20000</f>
        <v>39620</v>
      </c>
      <c r="V5" s="3"/>
    </row>
    <row r="6" spans="1:22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/>
      <c r="T6" s="11">
        <v>1600</v>
      </c>
      <c r="U6" s="18">
        <f>9500+7485+14970+39550</f>
        <v>71505</v>
      </c>
      <c r="V6" s="3"/>
    </row>
    <row r="7" spans="1:22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11"/>
      <c r="T7" s="9">
        <v>0</v>
      </c>
      <c r="U7" s="18">
        <v>23685</v>
      </c>
      <c r="V7" s="16" t="s">
        <v>11</v>
      </c>
    </row>
    <row r="8" spans="1:22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11"/>
      <c r="T8" s="9">
        <v>0</v>
      </c>
      <c r="U8" s="18">
        <f>7410+5620</f>
        <v>13030</v>
      </c>
      <c r="V8" s="3"/>
    </row>
    <row r="9" spans="1:22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17"/>
      <c r="T9" s="9">
        <v>0</v>
      </c>
      <c r="U9" s="11">
        <f>45245+13845</f>
        <v>59090</v>
      </c>
      <c r="V9" s="3"/>
    </row>
    <row r="10" spans="1:22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11"/>
      <c r="T10" s="9">
        <v>0</v>
      </c>
      <c r="U10" s="18">
        <v>93972.5</v>
      </c>
      <c r="V10" s="3"/>
    </row>
    <row r="11" spans="1:22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11"/>
      <c r="T11" s="9">
        <v>0</v>
      </c>
      <c r="U11" s="18">
        <v>37625</v>
      </c>
      <c r="V11" s="19" t="s">
        <v>12</v>
      </c>
    </row>
    <row r="12" spans="1:22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/>
      <c r="T12" s="20">
        <v>2380</v>
      </c>
      <c r="U12" s="18">
        <f>9350+57390</f>
        <v>66740</v>
      </c>
      <c r="V12" s="19" t="s">
        <v>13</v>
      </c>
    </row>
    <row r="13" spans="1:22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11"/>
      <c r="T13" s="9">
        <v>0</v>
      </c>
      <c r="U13" s="18">
        <v>4625</v>
      </c>
      <c r="V13" s="3"/>
    </row>
    <row r="14" spans="1:22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11"/>
      <c r="T14" s="9">
        <v>0</v>
      </c>
      <c r="U14" s="18">
        <v>23180</v>
      </c>
      <c r="V14" s="3"/>
    </row>
    <row r="15" spans="1:22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11"/>
      <c r="T15" s="9">
        <v>0</v>
      </c>
      <c r="U15" s="18">
        <v>27971</v>
      </c>
      <c r="V15" s="3"/>
    </row>
    <row r="16" spans="1:22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11"/>
      <c r="T16" s="9">
        <v>0</v>
      </c>
      <c r="U16" s="18">
        <v>21115</v>
      </c>
      <c r="V16" s="3"/>
    </row>
    <row r="17" spans="1:22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11"/>
      <c r="T17" s="9">
        <v>0</v>
      </c>
      <c r="U17" s="18">
        <f>9210+15850+15440+21300</f>
        <v>61800</v>
      </c>
      <c r="V17" s="3"/>
    </row>
    <row r="18" spans="1:22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/>
      <c r="T18" s="11">
        <f>2400+770</f>
        <v>3170</v>
      </c>
      <c r="U18" s="18">
        <f>53475+39315+9885+12755</f>
        <v>115430</v>
      </c>
      <c r="V18" s="3"/>
    </row>
    <row r="19" spans="1:22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22"/>
      <c r="T19" s="9">
        <v>0</v>
      </c>
      <c r="U19" s="18">
        <v>20180</v>
      </c>
      <c r="V19" s="3" t="s">
        <v>14</v>
      </c>
    </row>
    <row r="20" spans="1:22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/>
      <c r="T20" s="11">
        <v>860</v>
      </c>
      <c r="U20" s="18">
        <f>44195+8796</f>
        <v>52991</v>
      </c>
      <c r="V20" s="3"/>
    </row>
    <row r="21" spans="1:22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11"/>
      <c r="T21" s="9">
        <v>0</v>
      </c>
      <c r="U21" s="15">
        <v>0</v>
      </c>
      <c r="V21" s="3"/>
    </row>
    <row r="22" spans="1:22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11"/>
      <c r="T22" s="9">
        <v>0</v>
      </c>
      <c r="U22" s="15">
        <v>0</v>
      </c>
      <c r="V22" s="3"/>
    </row>
    <row r="23" spans="1:22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11"/>
      <c r="T23" s="9">
        <v>0</v>
      </c>
      <c r="U23" s="18">
        <v>24075</v>
      </c>
      <c r="V23" s="3"/>
    </row>
    <row r="24" spans="1:22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/>
      <c r="T24" s="11">
        <v>6580</v>
      </c>
      <c r="U24" s="18">
        <f>16010+48895</f>
        <v>64905</v>
      </c>
      <c r="V24" s="3"/>
    </row>
    <row r="25" spans="1:22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11"/>
      <c r="T25" s="9">
        <v>0</v>
      </c>
      <c r="U25" s="18">
        <f>15000+9505</f>
        <v>24505</v>
      </c>
      <c r="V25" s="3"/>
    </row>
    <row r="26" spans="1:22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11"/>
      <c r="T26" s="9">
        <v>0</v>
      </c>
      <c r="U26" s="18">
        <f>28955+14320</f>
        <v>43275</v>
      </c>
      <c r="V26" s="3"/>
    </row>
    <row r="27" spans="1:22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11"/>
      <c r="T27" s="9">
        <v>0</v>
      </c>
      <c r="U27" s="15">
        <v>13230</v>
      </c>
      <c r="V27" s="3"/>
    </row>
    <row r="28" spans="1:22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11"/>
      <c r="T28" s="9">
        <v>1750</v>
      </c>
      <c r="U28" s="15">
        <f>8745+11100</f>
        <v>19845</v>
      </c>
      <c r="V28" s="3"/>
    </row>
    <row r="29" spans="1:22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10050+10590+7950-2300</f>
        <v>26290</v>
      </c>
      <c r="F29" s="9">
        <f t="shared" si="2"/>
        <v>21908.333333333336</v>
      </c>
      <c r="G29" s="9">
        <f t="shared" si="3"/>
        <v>4381.666666666667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6250+7330-2300</f>
        <v>11280</v>
      </c>
      <c r="R29" s="11">
        <f>5800+52545+15250</f>
        <v>73595</v>
      </c>
      <c r="S29" s="11"/>
      <c r="T29" s="9">
        <v>3075</v>
      </c>
      <c r="U29" s="15">
        <f>3820+13630+7575</f>
        <v>25025</v>
      </c>
      <c r="V29" s="3"/>
    </row>
    <row r="30" spans="1:22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634868.85000000009</v>
      </c>
      <c r="F30" s="10">
        <f t="shared" ref="F30" si="11">E30/1.2</f>
        <v>529057.37500000012</v>
      </c>
      <c r="G30" s="10">
        <f t="shared" ref="G30" si="12">F30*20/100</f>
        <v>105811.47500000002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158078.39999999999</v>
      </c>
      <c r="L30" s="10">
        <f t="shared" ref="L30" si="15">K30/1.2</f>
        <v>131732</v>
      </c>
      <c r="M30" s="10">
        <f t="shared" ref="M30" si="16">L30*20/100</f>
        <v>26346.400000000001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128532</v>
      </c>
      <c r="R30" s="6">
        <f>SUM(R3:R29)</f>
        <v>2000472.73</v>
      </c>
      <c r="S30" s="6"/>
      <c r="T30" s="6">
        <f>SUM(T3:T29)</f>
        <v>19415</v>
      </c>
      <c r="U30" s="6">
        <f>SUM(U3:U29)</f>
        <v>957394.5</v>
      </c>
      <c r="V30" s="3"/>
    </row>
    <row r="31" spans="1:22" x14ac:dyDescent="0.3">
      <c r="A31" s="4" t="s">
        <v>17</v>
      </c>
      <c r="B31" s="5">
        <f>B32-B30</f>
        <v>0</v>
      </c>
      <c r="C31" s="5"/>
      <c r="D31" s="5"/>
      <c r="E31" s="5">
        <f>E32-E30</f>
        <v>3814.9999999998836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400</v>
      </c>
      <c r="L31" s="5"/>
      <c r="M31" s="5"/>
      <c r="N31" s="5">
        <f>N32-N30</f>
        <v>0</v>
      </c>
      <c r="O31" s="5"/>
      <c r="P31" s="5"/>
      <c r="Q31" s="5">
        <f>Q32-Q30</f>
        <v>5190</v>
      </c>
      <c r="R31" s="5">
        <f>R32-R30</f>
        <v>0</v>
      </c>
      <c r="S31" s="5"/>
      <c r="T31" s="5">
        <f>T32-T30</f>
        <v>0</v>
      </c>
      <c r="U31" s="5">
        <f>U32-U30</f>
        <v>18670</v>
      </c>
    </row>
    <row r="32" spans="1:22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/>
      <c r="T32" s="7">
        <f>12805+6610</f>
        <v>19415</v>
      </c>
      <c r="U32" s="7">
        <f>553630+422434.5</f>
        <v>976064.5</v>
      </c>
    </row>
    <row r="33" spans="1:21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x14ac:dyDescent="0.3">
      <c r="A34" s="4" t="s">
        <v>16</v>
      </c>
      <c r="B34" s="5">
        <v>0</v>
      </c>
      <c r="C34" s="5"/>
      <c r="D34" s="5"/>
      <c r="E34" s="5">
        <v>2300</v>
      </c>
      <c r="F34" s="5"/>
      <c r="G34" s="5"/>
      <c r="H34" s="5">
        <v>0</v>
      </c>
      <c r="I34" s="5"/>
      <c r="J34" s="5"/>
      <c r="K34" s="5">
        <v>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/>
      <c r="T34" s="5">
        <v>0</v>
      </c>
      <c r="U34" s="5">
        <v>0</v>
      </c>
    </row>
    <row r="35" spans="1:21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5" thickBot="1" x14ac:dyDescent="0.3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x14ac:dyDescent="0.3">
      <c r="A37" s="36"/>
      <c r="B37" s="37"/>
      <c r="C37" s="37"/>
      <c r="D37" s="37"/>
      <c r="E37" s="50" t="s">
        <v>28</v>
      </c>
      <c r="F37" s="37"/>
      <c r="G37" s="37"/>
      <c r="H37" s="37"/>
      <c r="I37" s="38"/>
      <c r="J37" s="5"/>
      <c r="K37" s="36"/>
      <c r="L37" s="37"/>
      <c r="M37" s="37"/>
      <c r="N37" s="37"/>
      <c r="O37" s="50" t="s">
        <v>27</v>
      </c>
      <c r="P37" s="37"/>
      <c r="Q37" s="37"/>
      <c r="R37" s="37"/>
      <c r="S37" s="37"/>
      <c r="T37" s="38"/>
      <c r="U37" s="5"/>
    </row>
    <row r="38" spans="1:21" x14ac:dyDescent="0.3">
      <c r="A38" s="47"/>
      <c r="B38" s="48" t="s">
        <v>22</v>
      </c>
      <c r="C38" s="48"/>
      <c r="D38" s="48" t="s">
        <v>23</v>
      </c>
      <c r="E38" s="48"/>
      <c r="F38" s="48" t="s">
        <v>24</v>
      </c>
      <c r="G38" s="48"/>
      <c r="H38" s="48" t="s">
        <v>25</v>
      </c>
      <c r="I38" s="49" t="s">
        <v>26</v>
      </c>
      <c r="J38" s="5"/>
      <c r="K38" s="47"/>
      <c r="L38" s="48" t="s">
        <v>22</v>
      </c>
      <c r="M38" s="48"/>
      <c r="N38" s="48" t="s">
        <v>23</v>
      </c>
      <c r="O38" s="48"/>
      <c r="P38" s="48" t="s">
        <v>24</v>
      </c>
      <c r="Q38" s="48"/>
      <c r="R38" s="48" t="s">
        <v>25</v>
      </c>
      <c r="S38" s="48"/>
      <c r="T38" s="49" t="s">
        <v>26</v>
      </c>
      <c r="U38" s="5"/>
    </row>
    <row r="39" spans="1:21" x14ac:dyDescent="0.3">
      <c r="A39" s="39" t="s">
        <v>20</v>
      </c>
      <c r="B39" s="40">
        <v>664465.63</v>
      </c>
      <c r="C39" s="40"/>
      <c r="D39" s="40">
        <v>430699.11</v>
      </c>
      <c r="E39" s="40"/>
      <c r="F39" s="40">
        <v>566435</v>
      </c>
      <c r="G39" s="40"/>
      <c r="H39" s="40">
        <v>79867</v>
      </c>
      <c r="I39" s="41">
        <v>1581732.74</v>
      </c>
      <c r="J39" s="5"/>
      <c r="K39" s="39" t="s">
        <v>20</v>
      </c>
      <c r="L39" s="40">
        <f>B30</f>
        <v>1245475.23</v>
      </c>
      <c r="M39" s="40"/>
      <c r="N39" s="40">
        <f>E30+K30+N30</f>
        <v>825054.87000000011</v>
      </c>
      <c r="O39" s="40"/>
      <c r="P39" s="40">
        <f>U30+T30</f>
        <v>976809.5</v>
      </c>
      <c r="Q39" s="40"/>
      <c r="R39" s="40">
        <f>Q30+T30</f>
        <v>147947</v>
      </c>
      <c r="S39" s="40"/>
      <c r="T39" s="41">
        <f>U30+R30</f>
        <v>2957867.23</v>
      </c>
      <c r="U39" s="5"/>
    </row>
    <row r="40" spans="1:21" x14ac:dyDescent="0.3">
      <c r="A40" s="39" t="s">
        <v>21</v>
      </c>
      <c r="B40" s="40">
        <v>639484.23</v>
      </c>
      <c r="C40" s="40"/>
      <c r="D40" s="40">
        <v>394355.76</v>
      </c>
      <c r="E40" s="40"/>
      <c r="F40" s="40">
        <v>429044.5</v>
      </c>
      <c r="G40" s="40"/>
      <c r="H40" s="40">
        <v>68080</v>
      </c>
      <c r="I40" s="41">
        <v>1394804.49</v>
      </c>
      <c r="J40" s="5"/>
      <c r="K40" s="39" t="s">
        <v>21</v>
      </c>
      <c r="L40" s="40">
        <f>H30</f>
        <v>58474.630000000005</v>
      </c>
      <c r="M40" s="40"/>
      <c r="N40" s="40"/>
      <c r="O40" s="40"/>
      <c r="P40" s="40"/>
      <c r="Q40" s="40"/>
      <c r="R40" s="40"/>
      <c r="S40" s="40"/>
      <c r="T40" s="41"/>
      <c r="U40" s="5"/>
    </row>
    <row r="41" spans="1:21" x14ac:dyDescent="0.3">
      <c r="A41" s="39"/>
      <c r="B41" s="40">
        <f>SUM(B39:B40)</f>
        <v>1303949.8599999999</v>
      </c>
      <c r="C41" s="40"/>
      <c r="D41" s="40">
        <f>SUM(D39:D40)</f>
        <v>825054.87</v>
      </c>
      <c r="E41" s="40"/>
      <c r="F41" s="40">
        <f>SUM(F39:F40)</f>
        <v>995479.5</v>
      </c>
      <c r="G41" s="40"/>
      <c r="H41" s="40">
        <f>SUM(H39:H40)</f>
        <v>147947</v>
      </c>
      <c r="I41" s="41">
        <f>SUM(I39:I40)</f>
        <v>2976537.23</v>
      </c>
      <c r="J41" s="5"/>
      <c r="K41" s="39"/>
      <c r="L41" s="40">
        <f>SUM(L39:L40)</f>
        <v>1303949.8599999999</v>
      </c>
      <c r="M41" s="40"/>
      <c r="N41" s="40">
        <f>SUM(N39:N40)</f>
        <v>825054.87000000011</v>
      </c>
      <c r="O41" s="40"/>
      <c r="P41" s="40">
        <f>SUM(P39:P40)</f>
        <v>976809.5</v>
      </c>
      <c r="Q41" s="40"/>
      <c r="R41" s="40">
        <f>SUM(R39:R40)</f>
        <v>147947</v>
      </c>
      <c r="S41" s="40"/>
      <c r="T41" s="41">
        <f>SUM(T39:T40)</f>
        <v>2957867.23</v>
      </c>
      <c r="U41" s="5"/>
    </row>
    <row r="42" spans="1:21" x14ac:dyDescent="0.3">
      <c r="A42" s="39"/>
      <c r="B42" s="40"/>
      <c r="C42" s="40"/>
      <c r="D42" s="40"/>
      <c r="E42" s="40"/>
      <c r="F42" s="40"/>
      <c r="G42" s="40"/>
      <c r="H42" s="40"/>
      <c r="I42" s="41"/>
      <c r="J42" s="5"/>
      <c r="K42" s="39"/>
      <c r="L42" s="40">
        <f>L41-B41</f>
        <v>0</v>
      </c>
      <c r="M42" s="40" t="s">
        <v>36</v>
      </c>
      <c r="N42" s="40">
        <f>N41-D41</f>
        <v>0</v>
      </c>
      <c r="O42" s="40"/>
      <c r="P42" s="40">
        <f>P41-F41</f>
        <v>-18670</v>
      </c>
      <c r="Q42" s="48" t="s">
        <v>29</v>
      </c>
      <c r="R42" s="40"/>
      <c r="S42" s="40"/>
      <c r="T42" s="41">
        <f>T41-I41</f>
        <v>-18670</v>
      </c>
      <c r="U42" s="5"/>
    </row>
    <row r="43" spans="1:21" x14ac:dyDescent="0.3">
      <c r="A43" s="39"/>
      <c r="B43" s="40"/>
      <c r="C43" s="40"/>
      <c r="D43" s="40">
        <f>B41+D41+F41</f>
        <v>3124484.23</v>
      </c>
      <c r="E43" s="40"/>
      <c r="F43" s="40"/>
      <c r="G43" s="40"/>
      <c r="H43" s="40"/>
      <c r="I43" s="41">
        <f>I41+H41</f>
        <v>3124484.23</v>
      </c>
      <c r="J43" s="5"/>
      <c r="K43" s="39"/>
      <c r="L43" s="40"/>
      <c r="M43" s="40"/>
      <c r="N43" s="40">
        <f>L41+N41+P41</f>
        <v>3105814.23</v>
      </c>
      <c r="O43" s="40"/>
      <c r="P43" s="40"/>
      <c r="Q43" s="40"/>
      <c r="R43" s="40"/>
      <c r="S43" s="40"/>
      <c r="T43" s="41">
        <f>T41+R41</f>
        <v>3105814.23</v>
      </c>
      <c r="U43" s="5"/>
    </row>
    <row r="44" spans="1:21" x14ac:dyDescent="0.3">
      <c r="A44" s="39"/>
      <c r="B44" s="42"/>
      <c r="C44" s="42"/>
      <c r="D44" s="42"/>
      <c r="E44" s="42"/>
      <c r="F44" s="42"/>
      <c r="G44" s="42"/>
      <c r="H44" s="42"/>
      <c r="I44" s="43"/>
      <c r="K44" s="39"/>
      <c r="L44" s="42"/>
      <c r="M44" s="42"/>
      <c r="N44" s="42"/>
      <c r="O44" s="42"/>
      <c r="P44" s="42"/>
      <c r="Q44" s="42"/>
      <c r="R44" s="42"/>
      <c r="S44" s="42"/>
      <c r="T44" s="43"/>
    </row>
    <row r="45" spans="1:21" x14ac:dyDescent="0.3">
      <c r="A45" s="39"/>
      <c r="B45" s="42"/>
      <c r="C45" s="42"/>
      <c r="D45" s="42"/>
      <c r="E45" s="42"/>
      <c r="F45" s="40">
        <f>D43-I43</f>
        <v>0</v>
      </c>
      <c r="G45" s="42"/>
      <c r="H45" s="42"/>
      <c r="I45" s="43"/>
      <c r="K45" s="39"/>
      <c r="L45" s="42"/>
      <c r="M45" s="42"/>
      <c r="N45" s="40"/>
      <c r="O45" s="42"/>
      <c r="P45" s="40">
        <f>N43-T43</f>
        <v>0</v>
      </c>
      <c r="Q45" s="42"/>
      <c r="R45" s="42"/>
      <c r="S45" s="42"/>
      <c r="T45" s="43"/>
    </row>
    <row r="46" spans="1:21" x14ac:dyDescent="0.3">
      <c r="A46" s="39"/>
      <c r="B46" s="42"/>
      <c r="C46" s="42"/>
      <c r="D46" s="42"/>
      <c r="E46" s="42"/>
      <c r="F46" s="42"/>
      <c r="G46" s="42"/>
      <c r="H46" s="42"/>
      <c r="I46" s="43"/>
      <c r="K46" s="39"/>
      <c r="L46" s="42"/>
      <c r="M46" s="42"/>
      <c r="N46" s="42"/>
      <c r="O46" s="42"/>
      <c r="P46" s="42"/>
      <c r="Q46" s="42"/>
      <c r="R46" s="42"/>
      <c r="S46" s="42"/>
      <c r="T46" s="43"/>
    </row>
    <row r="47" spans="1:21" ht="15" thickBot="1" x14ac:dyDescent="0.35">
      <c r="A47" s="44"/>
      <c r="B47" s="45"/>
      <c r="C47" s="45"/>
      <c r="D47" s="45"/>
      <c r="E47" s="45"/>
      <c r="F47" s="45"/>
      <c r="G47" s="45"/>
      <c r="H47" s="45"/>
      <c r="I47" s="46"/>
      <c r="K47" s="44"/>
      <c r="L47" s="45"/>
      <c r="M47" s="45"/>
      <c r="N47" s="45"/>
      <c r="O47" s="45"/>
      <c r="P47" s="45"/>
      <c r="Q47" s="45"/>
      <c r="R47" s="45"/>
      <c r="S47" s="45"/>
      <c r="T47" s="46"/>
    </row>
    <row r="51" spans="1:10" x14ac:dyDescent="0.3">
      <c r="A51" s="4" t="s">
        <v>30</v>
      </c>
      <c r="C51" s="52" t="s">
        <v>31</v>
      </c>
      <c r="D51" s="52" t="s">
        <v>32</v>
      </c>
      <c r="E51" s="52" t="s">
        <v>33</v>
      </c>
      <c r="F51" s="52" t="s">
        <v>35</v>
      </c>
    </row>
    <row r="52" spans="1:10" x14ac:dyDescent="0.3">
      <c r="A52" s="51">
        <v>0.1</v>
      </c>
      <c r="B52" s="5">
        <v>1680008.81</v>
      </c>
      <c r="C52" s="5">
        <v>11785.85</v>
      </c>
      <c r="D52" s="5">
        <f>B52-C52</f>
        <v>1668222.96</v>
      </c>
      <c r="E52" s="5">
        <f>D52*10/100</f>
        <v>166822.296</v>
      </c>
      <c r="F52" s="5">
        <f>D52+E52</f>
        <v>1835045.2560000001</v>
      </c>
    </row>
    <row r="53" spans="1:10" x14ac:dyDescent="0.3">
      <c r="A53" s="51">
        <v>0.2</v>
      </c>
      <c r="B53" s="5">
        <v>1064596.73</v>
      </c>
      <c r="C53" s="5">
        <v>4393.3500000000004</v>
      </c>
      <c r="D53" s="5">
        <f>B53-C53</f>
        <v>1060203.3799999999</v>
      </c>
      <c r="E53" s="5">
        <f>D53*20/100</f>
        <v>212040.67599999998</v>
      </c>
      <c r="F53" s="5">
        <f>D53+E53</f>
        <v>1272244.0559999999</v>
      </c>
      <c r="H53" s="53">
        <v>0.1</v>
      </c>
      <c r="I53" s="5">
        <f>E52+E66</f>
        <v>196422.682</v>
      </c>
      <c r="J53" s="5">
        <v>196422.72</v>
      </c>
    </row>
    <row r="54" spans="1:10" x14ac:dyDescent="0.3">
      <c r="B54" s="5"/>
      <c r="C54" s="5"/>
      <c r="D54" s="5"/>
      <c r="E54" s="5"/>
      <c r="F54" s="5">
        <f>SUM(F52:F53)</f>
        <v>3107289.3119999999</v>
      </c>
      <c r="H54" s="53">
        <v>0.2</v>
      </c>
      <c r="I54" s="5">
        <f>E53</f>
        <v>212040.67599999998</v>
      </c>
      <c r="J54" s="5">
        <v>212040.68</v>
      </c>
    </row>
    <row r="55" spans="1:10" x14ac:dyDescent="0.3">
      <c r="B55" s="5"/>
      <c r="C55" s="5"/>
      <c r="D55" s="5"/>
      <c r="E55" s="5"/>
      <c r="F55" s="5">
        <f>B30+E30+H30+K30+N30</f>
        <v>2129004.73</v>
      </c>
    </row>
    <row r="56" spans="1:10" x14ac:dyDescent="0.3">
      <c r="B56" s="5"/>
      <c r="C56" s="5"/>
      <c r="D56" s="5"/>
      <c r="E56" s="5"/>
      <c r="F56" s="5">
        <f>F54-F55</f>
        <v>978284.58199999994</v>
      </c>
    </row>
    <row r="57" spans="1:10" x14ac:dyDescent="0.3">
      <c r="B57" s="5"/>
      <c r="C57" s="5"/>
      <c r="D57" s="5"/>
      <c r="E57" s="5"/>
      <c r="F57" s="5">
        <f>U30+T30</f>
        <v>976809.5</v>
      </c>
    </row>
    <row r="58" spans="1:10" x14ac:dyDescent="0.3">
      <c r="B58" s="5"/>
      <c r="C58" s="5"/>
      <c r="D58" s="5"/>
      <c r="E58" s="5"/>
      <c r="F58" s="5">
        <f>F56-F57</f>
        <v>1475.0819999999367</v>
      </c>
    </row>
    <row r="59" spans="1:10" x14ac:dyDescent="0.3">
      <c r="B59" s="5"/>
      <c r="C59" s="5"/>
      <c r="D59" s="5"/>
      <c r="E59" s="5"/>
      <c r="F59" s="5"/>
    </row>
    <row r="60" spans="1:10" x14ac:dyDescent="0.3">
      <c r="B60" s="5"/>
      <c r="C60" s="5"/>
      <c r="D60" s="5"/>
      <c r="E60" s="5"/>
      <c r="F60" s="5">
        <f>1394804.49+1581732.74</f>
        <v>2976537.23</v>
      </c>
      <c r="G60" t="s">
        <v>26</v>
      </c>
    </row>
    <row r="61" spans="1:10" x14ac:dyDescent="0.3">
      <c r="B61" s="5"/>
      <c r="C61" s="5"/>
      <c r="D61" s="5"/>
      <c r="E61" s="5"/>
      <c r="F61" s="5">
        <f>68080+79867</f>
        <v>147947</v>
      </c>
      <c r="G61" t="s">
        <v>6</v>
      </c>
    </row>
    <row r="62" spans="1:10" x14ac:dyDescent="0.3">
      <c r="B62" s="5"/>
      <c r="C62" s="5"/>
      <c r="D62" s="5"/>
      <c r="E62" s="5"/>
      <c r="F62" s="5">
        <f>SUM(F60:F61)</f>
        <v>3124484.23</v>
      </c>
    </row>
    <row r="63" spans="1:10" x14ac:dyDescent="0.3">
      <c r="B63" s="5"/>
      <c r="C63" s="5"/>
      <c r="D63" s="5"/>
      <c r="E63" s="5"/>
      <c r="F63" s="5">
        <f>F54-F62</f>
        <v>-17194.918000000063</v>
      </c>
    </row>
    <row r="65" spans="1:6" x14ac:dyDescent="0.3">
      <c r="A65" s="4" t="s">
        <v>34</v>
      </c>
      <c r="C65" s="52" t="s">
        <v>31</v>
      </c>
      <c r="D65" s="52" t="s">
        <v>32</v>
      </c>
      <c r="E65" s="52" t="s">
        <v>33</v>
      </c>
      <c r="F65" s="52" t="s">
        <v>35</v>
      </c>
    </row>
    <row r="66" spans="1:6" x14ac:dyDescent="0.3">
      <c r="A66" s="51">
        <v>0.1</v>
      </c>
      <c r="B66" s="5">
        <v>296003.86</v>
      </c>
      <c r="C66" s="5">
        <v>0</v>
      </c>
      <c r="D66" s="5">
        <f>B66-C66</f>
        <v>296003.86</v>
      </c>
      <c r="E66" s="5">
        <f>D66*10/100</f>
        <v>29600.385999999995</v>
      </c>
      <c r="F66" s="5">
        <f>D66+E66</f>
        <v>325604.24599999998</v>
      </c>
    </row>
  </sheetData>
  <mergeCells count="1">
    <mergeCell ref="T1:U1"/>
  </mergeCells>
  <phoneticPr fontId="3" type="noConversion"/>
  <pageMargins left="0.7" right="0.7" top="0.75" bottom="0.75" header="0.3" footer="0.3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topLeftCell="A38" workbookViewId="0">
      <selection activeCell="I63" sqref="I63"/>
    </sheetView>
  </sheetViews>
  <sheetFormatPr defaultRowHeight="14.4" x14ac:dyDescent="0.3"/>
  <cols>
    <col min="1" max="1" width="28.88671875" style="31" bestFit="1" customWidth="1"/>
    <col min="2" max="2" width="11.6640625" style="24" bestFit="1" customWidth="1"/>
    <col min="3" max="3" width="11.5546875" style="24" bestFit="1" customWidth="1"/>
    <col min="4" max="4" width="11.6640625" style="24" bestFit="1" customWidth="1"/>
    <col min="5" max="5" width="15.109375" style="24" bestFit="1" customWidth="1"/>
    <col min="6" max="6" width="27.44140625" style="24" bestFit="1" customWidth="1"/>
    <col min="7" max="7" width="11.5546875" style="24" bestFit="1" customWidth="1"/>
    <col min="8" max="8" width="10" style="24" bestFit="1" customWidth="1"/>
    <col min="9" max="9" width="12.33203125" style="24" bestFit="1" customWidth="1"/>
    <col min="10" max="10" width="10.6640625" style="24" bestFit="1" customWidth="1"/>
    <col min="11" max="11" width="11.5546875" style="24" bestFit="1" customWidth="1"/>
    <col min="12" max="12" width="27.88671875" style="24" bestFit="1" customWidth="1"/>
    <col min="13" max="13" width="11.5546875" style="24" bestFit="1" customWidth="1"/>
    <col min="14" max="14" width="10" style="24" bestFit="1" customWidth="1"/>
    <col min="15" max="15" width="12.33203125" style="24" bestFit="1" customWidth="1"/>
    <col min="16" max="16" width="10" style="24" bestFit="1" customWidth="1"/>
    <col min="17" max="17" width="11.5546875" style="24" bestFit="1" customWidth="1"/>
    <col min="18" max="18" width="11.6640625" style="24" bestFit="1" customWidth="1"/>
    <col min="19" max="19" width="10.21875" style="24" bestFit="1" customWidth="1"/>
    <col min="20" max="21" width="13.88671875" style="24" customWidth="1"/>
    <col min="22" max="22" width="32.109375" style="31" bestFit="1" customWidth="1"/>
    <col min="23" max="16384" width="8.88671875" style="24"/>
  </cols>
  <sheetData>
    <row r="1" spans="1:22" x14ac:dyDescent="0.3">
      <c r="A1" s="54" t="s">
        <v>0</v>
      </c>
      <c r="B1" s="23" t="s">
        <v>1</v>
      </c>
      <c r="C1" s="23"/>
      <c r="D1" s="23"/>
      <c r="E1" s="23" t="s">
        <v>2</v>
      </c>
      <c r="F1" s="23"/>
      <c r="G1" s="23"/>
      <c r="H1" s="54" t="s">
        <v>3</v>
      </c>
      <c r="I1" s="23"/>
      <c r="J1" s="23"/>
      <c r="K1" s="54" t="s">
        <v>4</v>
      </c>
      <c r="L1" s="23"/>
      <c r="M1" s="23"/>
      <c r="N1" s="23" t="s">
        <v>5</v>
      </c>
      <c r="O1" s="23"/>
      <c r="P1" s="23"/>
      <c r="Q1" s="23" t="s">
        <v>6</v>
      </c>
      <c r="R1" s="23" t="s">
        <v>7</v>
      </c>
      <c r="S1" s="23" t="s">
        <v>19</v>
      </c>
      <c r="T1" s="83" t="s">
        <v>8</v>
      </c>
      <c r="U1" s="84"/>
      <c r="V1" s="54" t="s">
        <v>10</v>
      </c>
    </row>
    <row r="2" spans="1:22" x14ac:dyDescent="0.3">
      <c r="A2" s="25"/>
      <c r="B2" s="26">
        <v>0.1</v>
      </c>
      <c r="C2" s="26"/>
      <c r="D2" s="26"/>
      <c r="E2" s="26">
        <v>0.2</v>
      </c>
      <c r="F2" s="26"/>
      <c r="G2" s="26"/>
      <c r="H2" s="26">
        <v>0.1</v>
      </c>
      <c r="I2" s="26"/>
      <c r="J2" s="26"/>
      <c r="K2" s="26">
        <v>0.2</v>
      </c>
      <c r="L2" s="26"/>
      <c r="M2" s="26"/>
      <c r="N2" s="26">
        <v>0.2</v>
      </c>
      <c r="O2" s="26"/>
      <c r="P2" s="26"/>
      <c r="Q2" s="54"/>
      <c r="R2" s="54"/>
      <c r="S2" s="54"/>
      <c r="T2" s="54" t="s">
        <v>6</v>
      </c>
      <c r="U2" s="55" t="s">
        <v>9</v>
      </c>
      <c r="V2" s="25"/>
    </row>
    <row r="3" spans="1:22" x14ac:dyDescent="0.3">
      <c r="A3" s="27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10850+29125+2150+11100+10700+2300</f>
        <v>66225</v>
      </c>
      <c r="F3" s="21">
        <f>E3/1.2</f>
        <v>55187.5</v>
      </c>
      <c r="G3" s="21">
        <f>F3*0.2</f>
        <v>11037.5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1050+785+1585+2300</f>
        <v>5720</v>
      </c>
      <c r="R3" s="11">
        <f>13570+33625+2150+32150+24410</f>
        <v>105905</v>
      </c>
      <c r="S3" s="21">
        <v>0</v>
      </c>
      <c r="T3" s="11">
        <v>200</v>
      </c>
      <c r="U3" s="18">
        <f>4525+11000+23535+37190+79895+1000</f>
        <v>157145</v>
      </c>
      <c r="V3" s="30" t="s">
        <v>18</v>
      </c>
    </row>
    <row r="4" spans="1:22" x14ac:dyDescent="0.3">
      <c r="A4" s="27">
        <v>45690</v>
      </c>
      <c r="B4" s="11">
        <f>33355+42425</f>
        <v>75780</v>
      </c>
      <c r="C4" s="21">
        <f t="shared" ref="C4:C26" si="0">B4/1.1</f>
        <v>68890.909090909088</v>
      </c>
      <c r="D4" s="21">
        <f t="shared" ref="D4:D26" si="1">C4*0.1</f>
        <v>6889.090909090909</v>
      </c>
      <c r="E4" s="11">
        <f>3550+8320</f>
        <v>11870</v>
      </c>
      <c r="F4" s="21">
        <f t="shared" ref="F4:F27" si="2">E4/1.2</f>
        <v>9891.6666666666679</v>
      </c>
      <c r="G4" s="21">
        <f t="shared" ref="G4:G26" si="3">F4*0.2</f>
        <v>1978.3333333333337</v>
      </c>
      <c r="H4" s="11">
        <f>860+1195</f>
        <v>2055</v>
      </c>
      <c r="I4" s="21">
        <f t="shared" ref="I4:I27" si="4">H4/1.1</f>
        <v>1868.181818181818</v>
      </c>
      <c r="J4" s="21">
        <f t="shared" ref="J4:J26" si="5">I4*0.1</f>
        <v>186.81818181818181</v>
      </c>
      <c r="K4" s="11">
        <f>1600+2100</f>
        <v>3700</v>
      </c>
      <c r="L4" s="21">
        <f t="shared" ref="L4:L27" si="6">K4/1.2</f>
        <v>3083.3333333333335</v>
      </c>
      <c r="M4" s="21">
        <f t="shared" ref="M4:M26" si="7">L4*0.2</f>
        <v>616.66666666666674</v>
      </c>
      <c r="N4" s="11">
        <f>310+200</f>
        <v>510</v>
      </c>
      <c r="O4" s="21">
        <f t="shared" ref="O4:O27" si="8">N4/1.2</f>
        <v>425</v>
      </c>
      <c r="P4" s="21">
        <f t="shared" ref="P4:P26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18">
        <v>2700</v>
      </c>
      <c r="V4" s="25"/>
    </row>
    <row r="5" spans="1:22" x14ac:dyDescent="0.3">
      <c r="A5" s="27">
        <v>45692</v>
      </c>
      <c r="B5" s="11">
        <v>29620</v>
      </c>
      <c r="C5" s="21">
        <f t="shared" si="0"/>
        <v>26927.272727272724</v>
      </c>
      <c r="D5" s="21">
        <f t="shared" si="1"/>
        <v>2692.7272727272725</v>
      </c>
      <c r="E5" s="11">
        <v>12615</v>
      </c>
      <c r="F5" s="21">
        <f t="shared" si="2"/>
        <v>10512.5</v>
      </c>
      <c r="G5" s="21">
        <f t="shared" si="3"/>
        <v>2102.5</v>
      </c>
      <c r="H5" s="11">
        <v>840</v>
      </c>
      <c r="I5" s="21">
        <f t="shared" si="4"/>
        <v>763.63636363636363</v>
      </c>
      <c r="J5" s="21">
        <f t="shared" si="5"/>
        <v>76.36363636363636</v>
      </c>
      <c r="K5" s="11">
        <v>3000</v>
      </c>
      <c r="L5" s="21">
        <f t="shared" si="6"/>
        <v>2500</v>
      </c>
      <c r="M5" s="21">
        <f t="shared" si="7"/>
        <v>500</v>
      </c>
      <c r="N5" s="21">
        <v>0</v>
      </c>
      <c r="O5" s="21">
        <f t="shared" si="8"/>
        <v>0</v>
      </c>
      <c r="P5" s="21">
        <f t="shared" si="9"/>
        <v>0</v>
      </c>
      <c r="Q5" s="11">
        <v>5975</v>
      </c>
      <c r="R5" s="11">
        <v>34685</v>
      </c>
      <c r="S5" s="11">
        <v>5415</v>
      </c>
      <c r="T5" s="21">
        <v>0</v>
      </c>
      <c r="U5" s="18">
        <v>15650</v>
      </c>
      <c r="V5" s="25"/>
    </row>
    <row r="6" spans="1:22" x14ac:dyDescent="0.3">
      <c r="A6" s="27">
        <v>45693</v>
      </c>
      <c r="B6" s="11">
        <f>6930+7000</f>
        <v>13930</v>
      </c>
      <c r="C6" s="21">
        <f t="shared" si="0"/>
        <v>12663.636363636362</v>
      </c>
      <c r="D6" s="21">
        <f t="shared" si="1"/>
        <v>1266.3636363636363</v>
      </c>
      <c r="E6" s="11">
        <f>3650+7000</f>
        <v>10650</v>
      </c>
      <c r="F6" s="21">
        <f t="shared" si="2"/>
        <v>8875</v>
      </c>
      <c r="G6" s="21">
        <f t="shared" si="3"/>
        <v>1775</v>
      </c>
      <c r="H6" s="21">
        <v>0</v>
      </c>
      <c r="I6" s="21">
        <f t="shared" si="4"/>
        <v>0</v>
      </c>
      <c r="J6" s="21">
        <f t="shared" si="5"/>
        <v>0</v>
      </c>
      <c r="K6" s="11">
        <v>900</v>
      </c>
      <c r="L6" s="21">
        <f t="shared" si="6"/>
        <v>750</v>
      </c>
      <c r="M6" s="21">
        <f t="shared" si="7"/>
        <v>150</v>
      </c>
      <c r="N6" s="21">
        <v>0</v>
      </c>
      <c r="O6" s="21">
        <f t="shared" si="8"/>
        <v>0</v>
      </c>
      <c r="P6" s="21">
        <f t="shared" si="9"/>
        <v>0</v>
      </c>
      <c r="Q6" s="11">
        <f>1985+1000+7000</f>
        <v>9985</v>
      </c>
      <c r="R6" s="11">
        <f>9495+6000</f>
        <v>15495</v>
      </c>
      <c r="S6" s="21">
        <v>0</v>
      </c>
      <c r="T6" s="21">
        <v>0</v>
      </c>
      <c r="U6" s="18">
        <f>23175+600</f>
        <v>23775</v>
      </c>
      <c r="V6" s="25"/>
    </row>
    <row r="7" spans="1:22" x14ac:dyDescent="0.3">
      <c r="A7" s="27">
        <v>45694</v>
      </c>
      <c r="B7" s="11">
        <f>900+39220</f>
        <v>40120</v>
      </c>
      <c r="C7" s="21">
        <f t="shared" si="0"/>
        <v>36472.727272727272</v>
      </c>
      <c r="D7" s="21">
        <f t="shared" si="1"/>
        <v>3647.2727272727275</v>
      </c>
      <c r="E7" s="11">
        <f>1850+2100+5025+19910</f>
        <v>28885</v>
      </c>
      <c r="F7" s="21">
        <f t="shared" si="2"/>
        <v>24070.833333333336</v>
      </c>
      <c r="G7" s="21">
        <f t="shared" si="3"/>
        <v>4814.166666666667</v>
      </c>
      <c r="H7" s="11">
        <f>1350+150+3395</f>
        <v>4895</v>
      </c>
      <c r="I7" s="21">
        <f t="shared" si="4"/>
        <v>4450</v>
      </c>
      <c r="J7" s="21">
        <f t="shared" si="5"/>
        <v>445</v>
      </c>
      <c r="K7" s="11">
        <f>800+400+3900</f>
        <v>5100</v>
      </c>
      <c r="L7" s="21">
        <f t="shared" si="6"/>
        <v>4250</v>
      </c>
      <c r="M7" s="21">
        <f t="shared" si="7"/>
        <v>850</v>
      </c>
      <c r="N7" s="11">
        <v>770</v>
      </c>
      <c r="O7" s="21">
        <f t="shared" si="8"/>
        <v>641.66666666666674</v>
      </c>
      <c r="P7" s="21">
        <f t="shared" si="9"/>
        <v>128.33333333333334</v>
      </c>
      <c r="Q7" s="21">
        <v>0</v>
      </c>
      <c r="R7" s="11">
        <f>4000+2100+6475+67195</f>
        <v>79770</v>
      </c>
      <c r="S7" s="21">
        <v>0</v>
      </c>
      <c r="T7" s="21">
        <v>0</v>
      </c>
      <c r="U7" s="18">
        <v>14960</v>
      </c>
      <c r="V7" s="29"/>
    </row>
    <row r="8" spans="1:22" x14ac:dyDescent="0.3">
      <c r="A8" s="27">
        <v>45695</v>
      </c>
      <c r="B8" s="11">
        <f>41110.77+3890+14180+4370</f>
        <v>63550.77</v>
      </c>
      <c r="C8" s="21">
        <f t="shared" si="0"/>
        <v>57773.427272727262</v>
      </c>
      <c r="D8" s="21">
        <f t="shared" si="1"/>
        <v>5777.3427272727267</v>
      </c>
      <c r="E8" s="11">
        <f>6555.77+4195+3950+8620+6985</f>
        <v>30305.77</v>
      </c>
      <c r="F8" s="21">
        <f t="shared" si="2"/>
        <v>25254.808333333334</v>
      </c>
      <c r="G8" s="21">
        <f t="shared" si="3"/>
        <v>5050.961666666667</v>
      </c>
      <c r="H8" s="11">
        <f>2515+425+1525+300</f>
        <v>4765</v>
      </c>
      <c r="I8" s="21">
        <f t="shared" si="4"/>
        <v>4331.8181818181811</v>
      </c>
      <c r="J8" s="21">
        <f t="shared" si="5"/>
        <v>433.18181818181813</v>
      </c>
      <c r="K8" s="11">
        <f>2838.46+600+1200+1600+600</f>
        <v>6838.46</v>
      </c>
      <c r="L8" s="21">
        <f t="shared" si="6"/>
        <v>5698.7166666666672</v>
      </c>
      <c r="M8" s="21">
        <f t="shared" si="7"/>
        <v>1139.7433333333336</v>
      </c>
      <c r="N8" s="11">
        <v>600</v>
      </c>
      <c r="O8" s="21">
        <f t="shared" si="8"/>
        <v>500</v>
      </c>
      <c r="P8" s="21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21">
        <v>0</v>
      </c>
      <c r="U8" s="18">
        <f>34000+20700+12940+22200</f>
        <v>89840</v>
      </c>
      <c r="V8" s="25"/>
    </row>
    <row r="9" spans="1:22" x14ac:dyDescent="0.3">
      <c r="A9" s="27">
        <v>45696</v>
      </c>
      <c r="B9" s="11">
        <f>52310.3+5510+18095</f>
        <v>75915.3</v>
      </c>
      <c r="C9" s="21">
        <f t="shared" si="0"/>
        <v>69013.909090909088</v>
      </c>
      <c r="D9" s="21">
        <f t="shared" si="1"/>
        <v>6901.3909090909092</v>
      </c>
      <c r="E9" s="11">
        <f>29643.02+10850+14530+11300+8970</f>
        <v>75293.02</v>
      </c>
      <c r="F9" s="21">
        <f t="shared" si="2"/>
        <v>62744.183333333342</v>
      </c>
      <c r="G9" s="21">
        <f t="shared" si="3"/>
        <v>12548.83666666667</v>
      </c>
      <c r="H9" s="11">
        <f>1095+75+165+1800+850</f>
        <v>3985</v>
      </c>
      <c r="I9" s="21">
        <f t="shared" si="4"/>
        <v>3622.7272727272725</v>
      </c>
      <c r="J9" s="21">
        <f t="shared" si="5"/>
        <v>362.27272727272725</v>
      </c>
      <c r="K9" s="11">
        <f>6536.68+2800+1800+3200+2000</f>
        <v>16336.68</v>
      </c>
      <c r="L9" s="21">
        <f t="shared" si="6"/>
        <v>13613.900000000001</v>
      </c>
      <c r="M9" s="21">
        <f t="shared" si="7"/>
        <v>2722.7800000000007</v>
      </c>
      <c r="N9" s="11">
        <f>195+600</f>
        <v>795</v>
      </c>
      <c r="O9" s="21">
        <f t="shared" si="8"/>
        <v>662.5</v>
      </c>
      <c r="P9" s="21">
        <f t="shared" si="9"/>
        <v>132.5</v>
      </c>
      <c r="Q9" s="11">
        <f>3900+275+600</f>
        <v>4775</v>
      </c>
      <c r="R9" s="17">
        <f>85880+14050+22005+15700+29915</f>
        <v>167550</v>
      </c>
      <c r="S9" s="56">
        <v>0</v>
      </c>
      <c r="T9" s="21">
        <v>0</v>
      </c>
      <c r="U9" s="11">
        <f>10915+21227</f>
        <v>32142</v>
      </c>
      <c r="V9" s="25"/>
    </row>
    <row r="10" spans="1:22" x14ac:dyDescent="0.3">
      <c r="A10" s="27">
        <v>45697</v>
      </c>
      <c r="B10" s="11">
        <f>13545+56930</f>
        <v>70475</v>
      </c>
      <c r="C10" s="21">
        <f t="shared" si="0"/>
        <v>64068.181818181816</v>
      </c>
      <c r="D10" s="21">
        <f t="shared" si="1"/>
        <v>6406.818181818182</v>
      </c>
      <c r="E10" s="11">
        <f>4740+9995+10100</f>
        <v>24835</v>
      </c>
      <c r="F10" s="21">
        <f t="shared" si="2"/>
        <v>20695.833333333336</v>
      </c>
      <c r="G10" s="21">
        <f t="shared" si="3"/>
        <v>4139.166666666667</v>
      </c>
      <c r="H10" s="11">
        <f>850+1945+850</f>
        <v>3645</v>
      </c>
      <c r="I10" s="21">
        <f t="shared" si="4"/>
        <v>3313.6363636363635</v>
      </c>
      <c r="J10" s="21">
        <f t="shared" si="5"/>
        <v>331.36363636363637</v>
      </c>
      <c r="K10" s="11">
        <f>1500+2950+1200</f>
        <v>5650</v>
      </c>
      <c r="L10" s="21">
        <f t="shared" si="6"/>
        <v>4708.3333333333339</v>
      </c>
      <c r="M10" s="21">
        <f t="shared" si="7"/>
        <v>941.66666666666686</v>
      </c>
      <c r="N10" s="11">
        <f>300+580+800</f>
        <v>1680</v>
      </c>
      <c r="O10" s="21">
        <f t="shared" si="8"/>
        <v>1400</v>
      </c>
      <c r="P10" s="21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21">
        <v>0</v>
      </c>
      <c r="U10" s="18">
        <v>21545</v>
      </c>
      <c r="V10" s="25"/>
    </row>
    <row r="11" spans="1:22" x14ac:dyDescent="0.3">
      <c r="A11" s="27">
        <v>45699</v>
      </c>
      <c r="B11" s="11">
        <f>3120+35080+4320</f>
        <v>42520</v>
      </c>
      <c r="C11" s="21">
        <f t="shared" si="0"/>
        <v>38654.545454545449</v>
      </c>
      <c r="D11" s="21">
        <f t="shared" si="1"/>
        <v>3865.454545454545</v>
      </c>
      <c r="E11" s="11">
        <f>7190+12165+4900</f>
        <v>24255</v>
      </c>
      <c r="F11" s="21">
        <f t="shared" si="2"/>
        <v>20212.5</v>
      </c>
      <c r="G11" s="21">
        <f t="shared" si="3"/>
        <v>4042.5</v>
      </c>
      <c r="H11" s="11">
        <f>1115</f>
        <v>1115</v>
      </c>
      <c r="I11" s="21">
        <f t="shared" si="4"/>
        <v>1013.6363636363635</v>
      </c>
      <c r="J11" s="21">
        <f t="shared" si="5"/>
        <v>101.36363636363636</v>
      </c>
      <c r="K11" s="11">
        <f>1300+3600+600</f>
        <v>5500</v>
      </c>
      <c r="L11" s="21">
        <f t="shared" si="6"/>
        <v>4583.3333333333339</v>
      </c>
      <c r="M11" s="21">
        <f t="shared" si="7"/>
        <v>916.66666666666686</v>
      </c>
      <c r="N11" s="11">
        <v>1000</v>
      </c>
      <c r="O11" s="21">
        <f t="shared" si="8"/>
        <v>833.33333333333337</v>
      </c>
      <c r="P11" s="21">
        <f t="shared" si="9"/>
        <v>166.66666666666669</v>
      </c>
      <c r="Q11" s="11">
        <v>2700</v>
      </c>
      <c r="R11" s="11">
        <f>12210+49660+4820</f>
        <v>66690</v>
      </c>
      <c r="S11" s="11">
        <v>5000</v>
      </c>
      <c r="T11" s="21">
        <v>0</v>
      </c>
      <c r="U11" s="18">
        <v>109940</v>
      </c>
      <c r="V11" s="25"/>
    </row>
    <row r="12" spans="1:22" x14ac:dyDescent="0.3">
      <c r="A12" s="27">
        <v>45700</v>
      </c>
      <c r="B12" s="11">
        <f>2810+16920</f>
        <v>19730</v>
      </c>
      <c r="C12" s="21">
        <f t="shared" si="0"/>
        <v>17936.363636363636</v>
      </c>
      <c r="D12" s="21">
        <f t="shared" si="1"/>
        <v>1793.6363636363637</v>
      </c>
      <c r="E12" s="11">
        <f>6686.75+7620</f>
        <v>14306.75</v>
      </c>
      <c r="F12" s="21">
        <f t="shared" si="2"/>
        <v>11922.291666666668</v>
      </c>
      <c r="G12" s="21">
        <f t="shared" si="3"/>
        <v>2384.4583333333335</v>
      </c>
      <c r="H12" s="11">
        <f>135.54+435</f>
        <v>570.54</v>
      </c>
      <c r="I12" s="21">
        <f t="shared" si="4"/>
        <v>518.67272727272723</v>
      </c>
      <c r="J12" s="21">
        <f t="shared" si="5"/>
        <v>51.867272727272727</v>
      </c>
      <c r="K12" s="11">
        <f>977.71+1800</f>
        <v>2777.71</v>
      </c>
      <c r="L12" s="21">
        <f t="shared" si="6"/>
        <v>2314.7583333333337</v>
      </c>
      <c r="M12" s="21">
        <f t="shared" si="7"/>
        <v>462.95166666666677</v>
      </c>
      <c r="N12" s="11">
        <v>600</v>
      </c>
      <c r="O12" s="21">
        <f t="shared" si="8"/>
        <v>500</v>
      </c>
      <c r="P12" s="21">
        <f t="shared" si="9"/>
        <v>100</v>
      </c>
      <c r="Q12" s="21">
        <v>0</v>
      </c>
      <c r="R12" s="11">
        <f>10610+27375</f>
        <v>37985</v>
      </c>
      <c r="S12" s="21">
        <v>0</v>
      </c>
      <c r="T12" s="21">
        <v>0</v>
      </c>
      <c r="U12" s="28">
        <v>0</v>
      </c>
      <c r="V12" s="30"/>
    </row>
    <row r="13" spans="1:22" x14ac:dyDescent="0.3">
      <c r="A13" s="27">
        <v>45701</v>
      </c>
      <c r="B13" s="11">
        <f>2070+56260</f>
        <v>58330</v>
      </c>
      <c r="C13" s="21">
        <f t="shared" si="0"/>
        <v>53027.272727272721</v>
      </c>
      <c r="D13" s="21">
        <f t="shared" si="1"/>
        <v>5302.7272727272721</v>
      </c>
      <c r="E13" s="11">
        <f>1200+11165</f>
        <v>12365</v>
      </c>
      <c r="F13" s="21">
        <f t="shared" si="2"/>
        <v>10304.166666666668</v>
      </c>
      <c r="G13" s="21">
        <f t="shared" si="3"/>
        <v>2060.8333333333335</v>
      </c>
      <c r="H13" s="11">
        <v>4635</v>
      </c>
      <c r="I13" s="21">
        <f t="shared" si="4"/>
        <v>4213.6363636363631</v>
      </c>
      <c r="J13" s="21">
        <f t="shared" si="5"/>
        <v>421.36363636363632</v>
      </c>
      <c r="K13" s="11">
        <f>400+450+4950</f>
        <v>5800</v>
      </c>
      <c r="L13" s="21">
        <f t="shared" si="6"/>
        <v>4833.3333333333339</v>
      </c>
      <c r="M13" s="21">
        <f t="shared" si="7"/>
        <v>966.66666666666686</v>
      </c>
      <c r="N13" s="11">
        <v>450</v>
      </c>
      <c r="O13" s="21">
        <f t="shared" si="8"/>
        <v>375</v>
      </c>
      <c r="P13" s="21">
        <f t="shared" si="9"/>
        <v>75</v>
      </c>
      <c r="Q13" s="11">
        <v>4380</v>
      </c>
      <c r="R13" s="11">
        <f>1600+2970+72630</f>
        <v>77200</v>
      </c>
      <c r="S13" s="21">
        <v>0</v>
      </c>
      <c r="T13" s="21">
        <v>0</v>
      </c>
      <c r="U13" s="28">
        <v>0</v>
      </c>
      <c r="V13" s="25"/>
    </row>
    <row r="14" spans="1:22" x14ac:dyDescent="0.3">
      <c r="A14" s="27">
        <v>45702</v>
      </c>
      <c r="B14" s="11">
        <f>13782.43+69318.17+23450.8+21898.06</f>
        <v>128449.46</v>
      </c>
      <c r="C14" s="21">
        <f t="shared" si="0"/>
        <v>116772.23636363636</v>
      </c>
      <c r="D14" s="21">
        <f t="shared" si="1"/>
        <v>11677.223636363637</v>
      </c>
      <c r="E14" s="11">
        <f>4431.45+16474.67+9248.23+12997.08</f>
        <v>43151.43</v>
      </c>
      <c r="F14" s="21">
        <f t="shared" si="2"/>
        <v>35959.525000000001</v>
      </c>
      <c r="G14" s="21">
        <f t="shared" si="3"/>
        <v>7191.9050000000007</v>
      </c>
      <c r="H14" s="11">
        <f>645.44+1842.47+721.07+75</f>
        <v>3283.98</v>
      </c>
      <c r="I14" s="21">
        <f t="shared" si="4"/>
        <v>2985.4363636363632</v>
      </c>
      <c r="J14" s="21">
        <f t="shared" si="5"/>
        <v>298.54363636363632</v>
      </c>
      <c r="K14" s="11">
        <f>590.68+3383.56+1275.23+2980.01</f>
        <v>8229.48</v>
      </c>
      <c r="L14" s="21">
        <f t="shared" si="6"/>
        <v>6857.9</v>
      </c>
      <c r="M14" s="21">
        <f t="shared" si="7"/>
        <v>1371.58</v>
      </c>
      <c r="N14" s="11">
        <f>9096.13+3234.67+2159.85</f>
        <v>14490.65</v>
      </c>
      <c r="O14" s="21">
        <f t="shared" si="8"/>
        <v>12075.541666666666</v>
      </c>
      <c r="P14" s="21">
        <f t="shared" si="9"/>
        <v>2415.1083333333331</v>
      </c>
      <c r="Q14" s="11">
        <f>6450+3935</f>
        <v>10385</v>
      </c>
      <c r="R14" s="11">
        <f>13000+92775+37930+21775</f>
        <v>165480</v>
      </c>
      <c r="S14" s="11">
        <f>7340+14400</f>
        <v>21740</v>
      </c>
      <c r="T14" s="21">
        <v>0</v>
      </c>
      <c r="U14" s="18">
        <f>80045+22890+10640+10670</f>
        <v>124245</v>
      </c>
      <c r="V14" s="25" t="s">
        <v>37</v>
      </c>
    </row>
    <row r="15" spans="1:22" x14ac:dyDescent="0.3">
      <c r="A15" s="27">
        <v>45703</v>
      </c>
      <c r="B15" s="11">
        <f>102261.79+6670+10460</f>
        <v>119391.79</v>
      </c>
      <c r="C15" s="21">
        <f t="shared" si="0"/>
        <v>108537.99090909089</v>
      </c>
      <c r="D15" s="21">
        <f t="shared" si="1"/>
        <v>10853.79909090909</v>
      </c>
      <c r="E15" s="11">
        <f>25812.48+14000+8085+4790</f>
        <v>52687.479999999996</v>
      </c>
      <c r="F15" s="21">
        <f t="shared" si="2"/>
        <v>43906.23333333333</v>
      </c>
      <c r="G15" s="21">
        <f t="shared" si="3"/>
        <v>8781.246666666666</v>
      </c>
      <c r="H15" s="11">
        <f>7175+925+300+90</f>
        <v>8490</v>
      </c>
      <c r="I15" s="21">
        <f t="shared" si="4"/>
        <v>7718.1818181818171</v>
      </c>
      <c r="J15" s="21">
        <f t="shared" si="5"/>
        <v>771.81818181818176</v>
      </c>
      <c r="K15" s="11">
        <f>9244.73+3450+2600+1050</f>
        <v>16344.73</v>
      </c>
      <c r="L15" s="21">
        <f t="shared" si="6"/>
        <v>13620.608333333334</v>
      </c>
      <c r="M15" s="21">
        <f t="shared" si="7"/>
        <v>2724.1216666666669</v>
      </c>
      <c r="N15" s="11">
        <v>500</v>
      </c>
      <c r="O15" s="21">
        <f t="shared" si="8"/>
        <v>416.66666666666669</v>
      </c>
      <c r="P15" s="21">
        <f t="shared" si="9"/>
        <v>83.333333333333343</v>
      </c>
      <c r="Q15" s="11">
        <f>3795+938+3715</f>
        <v>8448</v>
      </c>
      <c r="R15" s="11">
        <f>140699+24107+10985+13175</f>
        <v>188966</v>
      </c>
      <c r="S15" s="21">
        <v>0</v>
      </c>
      <c r="T15" s="21">
        <v>0</v>
      </c>
      <c r="U15" s="18">
        <v>14170</v>
      </c>
      <c r="V15" s="25"/>
    </row>
    <row r="16" spans="1:22" x14ac:dyDescent="0.3">
      <c r="A16" s="27">
        <v>45704</v>
      </c>
      <c r="B16" s="11">
        <f>85950</f>
        <v>85950</v>
      </c>
      <c r="C16" s="21">
        <f t="shared" si="0"/>
        <v>78136.363636363632</v>
      </c>
      <c r="D16" s="21">
        <f t="shared" si="1"/>
        <v>7813.636363636364</v>
      </c>
      <c r="E16" s="11">
        <v>9885</v>
      </c>
      <c r="F16" s="21">
        <f t="shared" si="2"/>
        <v>8237.5</v>
      </c>
      <c r="G16" s="21">
        <f t="shared" si="3"/>
        <v>1647.5</v>
      </c>
      <c r="H16" s="11">
        <v>3415</v>
      </c>
      <c r="I16" s="21">
        <f t="shared" si="4"/>
        <v>3104.5454545454545</v>
      </c>
      <c r="J16" s="21">
        <f t="shared" si="5"/>
        <v>310.4545454545455</v>
      </c>
      <c r="K16" s="11">
        <v>4350</v>
      </c>
      <c r="L16" s="21">
        <f t="shared" si="6"/>
        <v>3625</v>
      </c>
      <c r="M16" s="21">
        <f t="shared" si="7"/>
        <v>725</v>
      </c>
      <c r="N16" s="21">
        <v>0</v>
      </c>
      <c r="O16" s="21">
        <f t="shared" si="8"/>
        <v>0</v>
      </c>
      <c r="P16" s="21">
        <f t="shared" si="9"/>
        <v>0</v>
      </c>
      <c r="Q16" s="11">
        <v>1800</v>
      </c>
      <c r="R16" s="11">
        <v>101800</v>
      </c>
      <c r="S16" s="21">
        <v>0</v>
      </c>
      <c r="T16" s="11">
        <v>12000</v>
      </c>
      <c r="U16" s="18">
        <v>28870</v>
      </c>
      <c r="V16" s="25"/>
    </row>
    <row r="17" spans="1:22" x14ac:dyDescent="0.3">
      <c r="A17" s="27">
        <v>45706</v>
      </c>
      <c r="B17" s="11">
        <v>33790</v>
      </c>
      <c r="C17" s="21">
        <f t="shared" si="0"/>
        <v>30718.181818181816</v>
      </c>
      <c r="D17" s="21">
        <f t="shared" si="1"/>
        <v>3071.818181818182</v>
      </c>
      <c r="E17" s="11">
        <f>1250+13865</f>
        <v>15115</v>
      </c>
      <c r="F17" s="21">
        <f t="shared" si="2"/>
        <v>12595.833333333334</v>
      </c>
      <c r="G17" s="21">
        <f t="shared" si="3"/>
        <v>2519.166666666667</v>
      </c>
      <c r="H17" s="11">
        <v>375</v>
      </c>
      <c r="I17" s="21">
        <f t="shared" si="4"/>
        <v>340.90909090909088</v>
      </c>
      <c r="J17" s="21">
        <f t="shared" si="5"/>
        <v>34.090909090909086</v>
      </c>
      <c r="K17" s="11">
        <f>400+2700</f>
        <v>3100</v>
      </c>
      <c r="L17" s="21">
        <f t="shared" si="6"/>
        <v>2583.3333333333335</v>
      </c>
      <c r="M17" s="21">
        <f t="shared" si="7"/>
        <v>516.66666666666674</v>
      </c>
      <c r="N17" s="21">
        <v>0</v>
      </c>
      <c r="O17" s="21">
        <f t="shared" si="8"/>
        <v>0</v>
      </c>
      <c r="P17" s="21">
        <f t="shared" si="9"/>
        <v>0</v>
      </c>
      <c r="Q17" s="11">
        <v>5000</v>
      </c>
      <c r="R17" s="11">
        <f>1650+41485</f>
        <v>43135</v>
      </c>
      <c r="S17" s="11">
        <v>4245</v>
      </c>
      <c r="T17" s="21">
        <v>0</v>
      </c>
      <c r="U17" s="18">
        <v>34500</v>
      </c>
      <c r="V17" s="25"/>
    </row>
    <row r="18" spans="1:22" x14ac:dyDescent="0.3">
      <c r="A18" s="27">
        <v>45707</v>
      </c>
      <c r="B18" s="11">
        <f>21320+11344.59+2780</f>
        <v>35444.589999999997</v>
      </c>
      <c r="C18" s="21">
        <f t="shared" si="0"/>
        <v>32222.354545454538</v>
      </c>
      <c r="D18" s="21">
        <f t="shared" si="1"/>
        <v>3222.2354545454541</v>
      </c>
      <c r="E18" s="11">
        <f>9065+4100+2400+3900</f>
        <v>19465</v>
      </c>
      <c r="F18" s="21">
        <f t="shared" si="2"/>
        <v>16220.833333333334</v>
      </c>
      <c r="G18" s="21">
        <f t="shared" si="3"/>
        <v>3244.166666666667</v>
      </c>
      <c r="H18" s="11">
        <f>270+1700+850+425</f>
        <v>3245</v>
      </c>
      <c r="I18" s="21">
        <f t="shared" si="4"/>
        <v>2949.9999999999995</v>
      </c>
      <c r="J18" s="21">
        <f t="shared" si="5"/>
        <v>294.99999999999994</v>
      </c>
      <c r="K18" s="11">
        <f>2100+1583.91+700+800</f>
        <v>5183.91</v>
      </c>
      <c r="L18" s="21">
        <f>K18/1.2</f>
        <v>4319.9250000000002</v>
      </c>
      <c r="M18" s="21">
        <f t="shared" si="7"/>
        <v>863.98500000000013</v>
      </c>
      <c r="N18" s="11">
        <v>690</v>
      </c>
      <c r="O18" s="21">
        <f t="shared" si="8"/>
        <v>575</v>
      </c>
      <c r="P18" s="21">
        <f t="shared" si="9"/>
        <v>115</v>
      </c>
      <c r="Q18" s="21">
        <v>0</v>
      </c>
      <c r="R18" s="11">
        <f>33445+18728.5+6730+5125</f>
        <v>64028.5</v>
      </c>
      <c r="S18" s="21">
        <v>0</v>
      </c>
      <c r="T18" s="21">
        <v>0</v>
      </c>
      <c r="U18" s="18">
        <f>11090+32330+37275</f>
        <v>80695</v>
      </c>
      <c r="V18" s="25"/>
    </row>
    <row r="19" spans="1:22" x14ac:dyDescent="0.3">
      <c r="A19" s="27">
        <v>45708</v>
      </c>
      <c r="B19" s="11">
        <f>30650+250</f>
        <v>30900</v>
      </c>
      <c r="C19" s="21">
        <f t="shared" si="0"/>
        <v>28090.909090909088</v>
      </c>
      <c r="D19" s="21">
        <f t="shared" si="1"/>
        <v>2809.090909090909</v>
      </c>
      <c r="E19" s="11">
        <f>11750+3000+3450</f>
        <v>18200</v>
      </c>
      <c r="F19" s="21">
        <f t="shared" si="2"/>
        <v>15166.666666666668</v>
      </c>
      <c r="G19" s="21">
        <f t="shared" si="3"/>
        <v>3033.3333333333339</v>
      </c>
      <c r="H19" s="11">
        <f>2630</f>
        <v>2630</v>
      </c>
      <c r="I19" s="21">
        <f t="shared" si="4"/>
        <v>2390.9090909090905</v>
      </c>
      <c r="J19" s="21">
        <f t="shared" si="5"/>
        <v>239.09090909090907</v>
      </c>
      <c r="K19" s="11">
        <f>3100+600+400</f>
        <v>4100</v>
      </c>
      <c r="L19" s="21">
        <f t="shared" si="6"/>
        <v>3416.666666666667</v>
      </c>
      <c r="M19" s="21">
        <f t="shared" si="7"/>
        <v>683.33333333333348</v>
      </c>
      <c r="N19" s="21">
        <v>0</v>
      </c>
      <c r="O19" s="21">
        <f t="shared" si="8"/>
        <v>0</v>
      </c>
      <c r="P19" s="21">
        <f t="shared" si="9"/>
        <v>0</v>
      </c>
      <c r="Q19" s="21">
        <v>0</v>
      </c>
      <c r="R19" s="11">
        <f>41035+3600+4100</f>
        <v>48735</v>
      </c>
      <c r="S19" s="11">
        <v>7095</v>
      </c>
      <c r="T19" s="21">
        <v>0</v>
      </c>
      <c r="U19" s="18">
        <v>10350</v>
      </c>
      <c r="V19" s="25"/>
    </row>
    <row r="20" spans="1:22" x14ac:dyDescent="0.3">
      <c r="A20" s="27">
        <v>45709</v>
      </c>
      <c r="B20" s="11">
        <f>1185+42800</f>
        <v>43985</v>
      </c>
      <c r="C20" s="21">
        <f t="shared" si="0"/>
        <v>39986.363636363632</v>
      </c>
      <c r="D20" s="21">
        <f t="shared" si="1"/>
        <v>3998.6363636363635</v>
      </c>
      <c r="E20" s="11">
        <f>4725+1850+8000+5400+8675</f>
        <v>28650</v>
      </c>
      <c r="F20" s="21">
        <f t="shared" si="2"/>
        <v>23875</v>
      </c>
      <c r="G20" s="21">
        <f t="shared" si="3"/>
        <v>4775</v>
      </c>
      <c r="H20" s="11">
        <f>810+75</f>
        <v>885</v>
      </c>
      <c r="I20" s="21">
        <f t="shared" si="4"/>
        <v>804.5454545454545</v>
      </c>
      <c r="J20" s="21">
        <f t="shared" si="5"/>
        <v>80.454545454545453</v>
      </c>
      <c r="K20" s="11">
        <f>800+450+3450+1000+1000</f>
        <v>6700</v>
      </c>
      <c r="L20" s="21">
        <f t="shared" si="6"/>
        <v>5583.3333333333339</v>
      </c>
      <c r="M20" s="21">
        <f t="shared" si="7"/>
        <v>1116.6666666666667</v>
      </c>
      <c r="N20" s="11">
        <f>300+150</f>
        <v>450</v>
      </c>
      <c r="O20" s="21">
        <f t="shared" si="8"/>
        <v>375</v>
      </c>
      <c r="P20" s="21">
        <f t="shared" si="9"/>
        <v>75</v>
      </c>
      <c r="Q20" s="11">
        <v>800</v>
      </c>
      <c r="R20" s="11">
        <f>5825+3485+55060+5600+9900</f>
        <v>79870</v>
      </c>
      <c r="S20" s="21">
        <v>0</v>
      </c>
      <c r="T20" s="11">
        <v>3625</v>
      </c>
      <c r="U20" s="18">
        <f>19510+1850+16355+6300</f>
        <v>44015</v>
      </c>
      <c r="V20" s="25"/>
    </row>
    <row r="21" spans="1:22" x14ac:dyDescent="0.3">
      <c r="A21" s="27">
        <v>45710</v>
      </c>
      <c r="B21" s="11">
        <f>250+5870+450+61990</f>
        <v>68560</v>
      </c>
      <c r="C21" s="21">
        <f t="shared" si="0"/>
        <v>62327.272727272721</v>
      </c>
      <c r="D21" s="21">
        <f t="shared" si="1"/>
        <v>6232.7272727272721</v>
      </c>
      <c r="E21" s="11">
        <f>13000+4240+20200+24770</f>
        <v>62210</v>
      </c>
      <c r="F21" s="21">
        <f t="shared" si="2"/>
        <v>51841.666666666672</v>
      </c>
      <c r="G21" s="21">
        <f t="shared" si="3"/>
        <v>10368.333333333336</v>
      </c>
      <c r="H21" s="11">
        <f>1275+230+1075+445</f>
        <v>3025</v>
      </c>
      <c r="I21" s="21">
        <f t="shared" si="4"/>
        <v>2750</v>
      </c>
      <c r="J21" s="21">
        <f t="shared" si="5"/>
        <v>275</v>
      </c>
      <c r="K21" s="11">
        <v>12500</v>
      </c>
      <c r="L21" s="21">
        <f t="shared" si="6"/>
        <v>10416.666666666668</v>
      </c>
      <c r="M21" s="21">
        <f t="shared" si="7"/>
        <v>2083.3333333333335</v>
      </c>
      <c r="N21" s="11">
        <f>600+750+2265</f>
        <v>3615</v>
      </c>
      <c r="O21" s="21">
        <f t="shared" si="8"/>
        <v>3012.5</v>
      </c>
      <c r="P21" s="21">
        <f t="shared" si="9"/>
        <v>602.5</v>
      </c>
      <c r="Q21" s="11">
        <f>950+1095</f>
        <v>2045</v>
      </c>
      <c r="R21" s="11">
        <f>11340+16975+94570+24980-6410</f>
        <v>141455</v>
      </c>
      <c r="S21" s="11">
        <v>6410</v>
      </c>
      <c r="T21" s="21">
        <v>0</v>
      </c>
      <c r="U21" s="28">
        <f>13055+7170+31740+53555</f>
        <v>105520</v>
      </c>
      <c r="V21" s="25"/>
    </row>
    <row r="22" spans="1:22" x14ac:dyDescent="0.3">
      <c r="A22" s="27">
        <v>45711</v>
      </c>
      <c r="B22" s="11">
        <f>48045</f>
        <v>48045</v>
      </c>
      <c r="C22" s="21">
        <f t="shared" si="0"/>
        <v>43677.272727272721</v>
      </c>
      <c r="D22" s="21">
        <f t="shared" si="1"/>
        <v>4367.7272727272721</v>
      </c>
      <c r="E22" s="11">
        <f>7590</f>
        <v>7590</v>
      </c>
      <c r="F22" s="21">
        <f t="shared" si="2"/>
        <v>6325</v>
      </c>
      <c r="G22" s="21">
        <f t="shared" si="3"/>
        <v>1265</v>
      </c>
      <c r="H22" s="11">
        <f>2500+850</f>
        <v>3350</v>
      </c>
      <c r="I22" s="21">
        <f t="shared" si="4"/>
        <v>3045.454545454545</v>
      </c>
      <c r="J22" s="21">
        <f t="shared" si="5"/>
        <v>304.5454545454545</v>
      </c>
      <c r="K22" s="11">
        <f>3000+400</f>
        <v>3400</v>
      </c>
      <c r="L22" s="21">
        <f t="shared" si="6"/>
        <v>2833.3333333333335</v>
      </c>
      <c r="M22" s="21">
        <f t="shared" si="7"/>
        <v>566.66666666666674</v>
      </c>
      <c r="N22" s="21">
        <v>0</v>
      </c>
      <c r="O22" s="21">
        <f t="shared" si="8"/>
        <v>0</v>
      </c>
      <c r="P22" s="21">
        <f t="shared" si="9"/>
        <v>0</v>
      </c>
      <c r="Q22" s="11">
        <v>9780</v>
      </c>
      <c r="R22" s="11">
        <f>51355+1250</f>
        <v>52605</v>
      </c>
      <c r="S22" s="21">
        <v>0</v>
      </c>
      <c r="T22" s="21">
        <v>0</v>
      </c>
      <c r="U22" s="18">
        <v>28190</v>
      </c>
      <c r="V22" s="25"/>
    </row>
    <row r="23" spans="1:22" x14ac:dyDescent="0.3">
      <c r="A23" s="27">
        <v>45713</v>
      </c>
      <c r="B23" s="11">
        <f>4208.11+20915</f>
        <v>25123.11</v>
      </c>
      <c r="C23" s="21">
        <f t="shared" si="0"/>
        <v>22839.190909090907</v>
      </c>
      <c r="D23" s="21">
        <f t="shared" si="1"/>
        <v>2283.9190909090908</v>
      </c>
      <c r="E23" s="11">
        <f>7925+3021.58</f>
        <v>10946.58</v>
      </c>
      <c r="F23" s="21">
        <f t="shared" si="2"/>
        <v>9122.15</v>
      </c>
      <c r="G23" s="21">
        <f t="shared" si="3"/>
        <v>1824.43</v>
      </c>
      <c r="H23" s="11">
        <f>875+200</f>
        <v>1075</v>
      </c>
      <c r="I23" s="21">
        <f t="shared" si="4"/>
        <v>977.27272727272714</v>
      </c>
      <c r="J23" s="21">
        <f t="shared" si="5"/>
        <v>97.72727272727272</v>
      </c>
      <c r="K23" s="11">
        <f>2400+875.54</f>
        <v>3275.54</v>
      </c>
      <c r="L23" s="21">
        <f t="shared" si="6"/>
        <v>2729.6166666666668</v>
      </c>
      <c r="M23" s="21">
        <f t="shared" si="7"/>
        <v>545.9233333333334</v>
      </c>
      <c r="N23" s="11">
        <v>1534.77</v>
      </c>
      <c r="O23" s="21">
        <f t="shared" si="8"/>
        <v>1278.9750000000001</v>
      </c>
      <c r="P23" s="21">
        <f t="shared" si="9"/>
        <v>255.79500000000004</v>
      </c>
      <c r="Q23" s="21">
        <v>0</v>
      </c>
      <c r="R23" s="11">
        <f>32115+9840</f>
        <v>41955</v>
      </c>
      <c r="S23" s="21">
        <v>0</v>
      </c>
      <c r="T23" s="21">
        <v>0</v>
      </c>
      <c r="U23" s="18">
        <f>25530+5000</f>
        <v>30530</v>
      </c>
      <c r="V23" s="25"/>
    </row>
    <row r="24" spans="1:22" x14ac:dyDescent="0.3">
      <c r="A24" s="27">
        <v>45714</v>
      </c>
      <c r="B24" s="11">
        <f>3060+19750+11925</f>
        <v>34735</v>
      </c>
      <c r="C24" s="21">
        <f t="shared" si="0"/>
        <v>31577.272727272724</v>
      </c>
      <c r="D24" s="21">
        <f t="shared" si="1"/>
        <v>3157.7272727272725</v>
      </c>
      <c r="E24" s="11">
        <f>1550+14690+2165</f>
        <v>18405</v>
      </c>
      <c r="F24" s="21">
        <f t="shared" si="2"/>
        <v>15337.5</v>
      </c>
      <c r="G24" s="21">
        <f t="shared" si="3"/>
        <v>3067.5</v>
      </c>
      <c r="H24" s="11">
        <f>325+1150</f>
        <v>1475</v>
      </c>
      <c r="I24" s="21">
        <f t="shared" si="4"/>
        <v>1340.9090909090908</v>
      </c>
      <c r="J24" s="21">
        <f t="shared" si="5"/>
        <v>134.09090909090909</v>
      </c>
      <c r="K24" s="11">
        <f>300+1800+1300</f>
        <v>3400</v>
      </c>
      <c r="L24" s="21">
        <f t="shared" si="6"/>
        <v>2833.3333333333335</v>
      </c>
      <c r="M24" s="21">
        <f t="shared" si="7"/>
        <v>566.66666666666674</v>
      </c>
      <c r="N24" s="11">
        <v>265</v>
      </c>
      <c r="O24" s="21">
        <f t="shared" si="8"/>
        <v>220.83333333333334</v>
      </c>
      <c r="P24" s="21">
        <f t="shared" si="9"/>
        <v>44.166666666666671</v>
      </c>
      <c r="Q24" s="21">
        <f>0</f>
        <v>0</v>
      </c>
      <c r="R24" s="11">
        <f>4910+36830+16540</f>
        <v>58280</v>
      </c>
      <c r="S24" s="21">
        <v>0</v>
      </c>
      <c r="T24" s="11">
        <v>6472</v>
      </c>
      <c r="U24" s="18">
        <f>35213</f>
        <v>35213</v>
      </c>
      <c r="V24" s="25"/>
    </row>
    <row r="25" spans="1:22" x14ac:dyDescent="0.3">
      <c r="A25" s="27">
        <v>45715</v>
      </c>
      <c r="B25" s="11">
        <f>1995+3235+30550</f>
        <v>35780</v>
      </c>
      <c r="C25" s="21">
        <f t="shared" si="0"/>
        <v>32527.272727272724</v>
      </c>
      <c r="D25" s="21">
        <f t="shared" si="1"/>
        <v>3252.7272727272725</v>
      </c>
      <c r="E25" s="11">
        <f>3900+2200+11750</f>
        <v>17850</v>
      </c>
      <c r="F25" s="21">
        <f t="shared" si="2"/>
        <v>14875</v>
      </c>
      <c r="G25" s="21">
        <f t="shared" si="3"/>
        <v>2975</v>
      </c>
      <c r="H25" s="11">
        <f>200+620</f>
        <v>820</v>
      </c>
      <c r="I25" s="21">
        <f t="shared" si="4"/>
        <v>745.45454545454538</v>
      </c>
      <c r="J25" s="21">
        <f t="shared" si="5"/>
        <v>74.545454545454547</v>
      </c>
      <c r="K25" s="11">
        <f>300+3600+300</f>
        <v>4200</v>
      </c>
      <c r="L25" s="21">
        <f t="shared" si="6"/>
        <v>3500</v>
      </c>
      <c r="M25" s="21">
        <f t="shared" si="7"/>
        <v>700</v>
      </c>
      <c r="N25" s="11">
        <v>1050</v>
      </c>
      <c r="O25" s="21">
        <f t="shared" si="8"/>
        <v>875</v>
      </c>
      <c r="P25" s="21">
        <f t="shared" si="9"/>
        <v>175</v>
      </c>
      <c r="Q25" s="11">
        <v>3170</v>
      </c>
      <c r="R25" s="11">
        <f>6395+5735+44400</f>
        <v>56530</v>
      </c>
      <c r="S25" s="21">
        <v>0</v>
      </c>
      <c r="T25" s="21">
        <v>0</v>
      </c>
      <c r="U25" s="18">
        <f>19600+7775</f>
        <v>27375</v>
      </c>
      <c r="V25" s="25"/>
    </row>
    <row r="26" spans="1:22" x14ac:dyDescent="0.3">
      <c r="A26" s="27">
        <v>45716</v>
      </c>
      <c r="B26" s="11">
        <f>450+41780+2350+2090+2100-2100-450</f>
        <v>46220</v>
      </c>
      <c r="C26" s="21">
        <f t="shared" si="0"/>
        <v>42018.181818181816</v>
      </c>
      <c r="D26" s="21">
        <f t="shared" si="1"/>
        <v>4201.818181818182</v>
      </c>
      <c r="E26" s="11">
        <f>3050+12325-3050</f>
        <v>12325</v>
      </c>
      <c r="F26" s="21">
        <f t="shared" si="2"/>
        <v>10270.833333333334</v>
      </c>
      <c r="G26" s="21">
        <f t="shared" si="3"/>
        <v>2054.166666666667</v>
      </c>
      <c r="H26" s="11">
        <f>2025+135+1275+170-170</f>
        <v>3435</v>
      </c>
      <c r="I26" s="21">
        <f t="shared" si="4"/>
        <v>3122.7272727272725</v>
      </c>
      <c r="J26" s="21">
        <f t="shared" si="5"/>
        <v>312.27272727272725</v>
      </c>
      <c r="K26" s="11">
        <f>600+4450+300+450+300-300-600</f>
        <v>5200</v>
      </c>
      <c r="L26" s="21">
        <f t="shared" si="6"/>
        <v>4333.3333333333339</v>
      </c>
      <c r="M26" s="21">
        <f t="shared" si="7"/>
        <v>866.66666666666686</v>
      </c>
      <c r="N26" s="11">
        <f>900+300+450</f>
        <v>1650</v>
      </c>
      <c r="O26" s="21">
        <f t="shared" si="8"/>
        <v>1375</v>
      </c>
      <c r="P26" s="21">
        <f t="shared" si="9"/>
        <v>275</v>
      </c>
      <c r="Q26" s="11">
        <v>3250</v>
      </c>
      <c r="R26" s="11">
        <f>4100+58230+3085+4265+2570-2570-4100</f>
        <v>65580</v>
      </c>
      <c r="S26" s="21">
        <v>0</v>
      </c>
      <c r="T26" s="21">
        <v>0</v>
      </c>
      <c r="U26" s="18">
        <f>16620+21610+7300</f>
        <v>45530</v>
      </c>
      <c r="V26" s="25"/>
    </row>
    <row r="27" spans="1:22" x14ac:dyDescent="0.3">
      <c r="B27" s="32">
        <f>SUM(B3:B26)</f>
        <v>1258425.0200000003</v>
      </c>
      <c r="C27" s="33">
        <f>B27/1.1</f>
        <v>1144022.7454545456</v>
      </c>
      <c r="D27" s="33">
        <f t="shared" ref="D27" si="10">C27*10/100</f>
        <v>114402.27454545457</v>
      </c>
      <c r="E27" s="32">
        <f>SUM(E3:E26)</f>
        <v>628086.02999999991</v>
      </c>
      <c r="F27" s="33">
        <f t="shared" si="2"/>
        <v>523405.02499999997</v>
      </c>
      <c r="G27" s="33">
        <f t="shared" ref="G27" si="11">F27*20/100</f>
        <v>104681.005</v>
      </c>
      <c r="H27" s="32">
        <f>SUM(H3:H26)</f>
        <v>63279.520000000004</v>
      </c>
      <c r="I27" s="33">
        <f t="shared" si="4"/>
        <v>57526.836363636365</v>
      </c>
      <c r="J27" s="33">
        <f t="shared" ref="J27" si="12">I27*10/100</f>
        <v>5752.6836363636367</v>
      </c>
      <c r="K27" s="32">
        <f>SUM(K3:K26)</f>
        <v>146586.51</v>
      </c>
      <c r="L27" s="33">
        <f t="shared" si="6"/>
        <v>122155.42500000002</v>
      </c>
      <c r="M27" s="33">
        <f t="shared" ref="M27" si="13">L27*20/100</f>
        <v>24431.085000000006</v>
      </c>
      <c r="N27" s="32">
        <f>SUM(N3:N26)</f>
        <v>31700.420000000002</v>
      </c>
      <c r="O27" s="33">
        <f t="shared" si="8"/>
        <v>26417.01666666667</v>
      </c>
      <c r="P27" s="33">
        <f t="shared" ref="P27" si="14">O27*20/100</f>
        <v>5283.4033333333336</v>
      </c>
      <c r="Q27" s="32">
        <f>SUM(Q3:Q26)</f>
        <v>91663</v>
      </c>
      <c r="R27" s="32">
        <f>SUM(R3:R26)</f>
        <v>1968787.5</v>
      </c>
      <c r="S27" s="32">
        <f>SUM(S3:S26)</f>
        <v>67627</v>
      </c>
      <c r="T27" s="32">
        <f>SUM(T3:T26)</f>
        <v>22297</v>
      </c>
      <c r="U27" s="32">
        <f>SUM(U3:U26)</f>
        <v>1076900</v>
      </c>
      <c r="V27" s="25"/>
    </row>
    <row r="28" spans="1:22" x14ac:dyDescent="0.3">
      <c r="B28" s="34"/>
      <c r="C28" s="34"/>
      <c r="D28" s="34"/>
      <c r="E28" s="34"/>
      <c r="F28" s="34">
        <f>B27+E27+H27+K27+N27</f>
        <v>2128077.5000000005</v>
      </c>
      <c r="G28" s="34">
        <v>2128077.5</v>
      </c>
      <c r="H28" s="34">
        <f>F28-G28</f>
        <v>0</v>
      </c>
      <c r="I28" s="34"/>
      <c r="J28" s="34"/>
      <c r="K28" s="34"/>
      <c r="L28" s="34"/>
      <c r="M28" s="34"/>
      <c r="N28" s="34"/>
      <c r="O28" s="34"/>
      <c r="P28" s="34"/>
      <c r="Q28" s="34"/>
      <c r="R28" s="34">
        <f>R27+Q27+S27</f>
        <v>2128077.5</v>
      </c>
      <c r="S28" s="34"/>
      <c r="T28" s="34"/>
      <c r="U28" s="34">
        <f>D34</f>
        <v>1082577</v>
      </c>
    </row>
    <row r="29" spans="1:22" ht="15" thickBot="1" x14ac:dyDescent="0.35">
      <c r="H29" s="34"/>
      <c r="U29" s="34">
        <f>U28-U27-T27</f>
        <v>-16620</v>
      </c>
    </row>
    <row r="30" spans="1:22" x14ac:dyDescent="0.3">
      <c r="A30" s="57" t="s">
        <v>38</v>
      </c>
      <c r="B30" s="58"/>
      <c r="C30" s="58"/>
      <c r="D30" s="59"/>
      <c r="E30" s="60"/>
      <c r="F30" s="57" t="s">
        <v>39</v>
      </c>
      <c r="G30" s="58"/>
      <c r="H30" s="58"/>
      <c r="I30" s="59"/>
      <c r="L30" s="57" t="s">
        <v>40</v>
      </c>
      <c r="M30" s="58"/>
      <c r="N30" s="58" t="s">
        <v>49</v>
      </c>
      <c r="O30" s="58"/>
      <c r="P30" s="58"/>
      <c r="Q30" s="59"/>
      <c r="R30" s="34"/>
      <c r="S30" s="31"/>
      <c r="U30" s="34">
        <f>T27+U27</f>
        <v>1099197</v>
      </c>
      <c r="V30" s="24"/>
    </row>
    <row r="31" spans="1:22" x14ac:dyDescent="0.3">
      <c r="A31" s="61"/>
      <c r="B31" s="62" t="s">
        <v>41</v>
      </c>
      <c r="C31" s="62" t="s">
        <v>42</v>
      </c>
      <c r="D31" s="63" t="s">
        <v>43</v>
      </c>
      <c r="E31" s="60"/>
      <c r="F31" s="61"/>
      <c r="G31" s="62" t="s">
        <v>53</v>
      </c>
      <c r="H31" s="62" t="s">
        <v>54</v>
      </c>
      <c r="I31" s="63" t="s">
        <v>43</v>
      </c>
      <c r="L31" s="61"/>
      <c r="M31" s="62" t="s">
        <v>44</v>
      </c>
      <c r="N31" s="62"/>
      <c r="O31" s="62" t="s">
        <v>43</v>
      </c>
      <c r="P31" s="62" t="s">
        <v>33</v>
      </c>
      <c r="Q31" s="63" t="s">
        <v>43</v>
      </c>
      <c r="R31" s="34"/>
      <c r="S31" s="31"/>
      <c r="V31" s="24"/>
    </row>
    <row r="32" spans="1:22" x14ac:dyDescent="0.3">
      <c r="A32" s="64">
        <v>0.1</v>
      </c>
      <c r="B32" s="65">
        <v>716880.7</v>
      </c>
      <c r="C32" s="65">
        <v>604823.84</v>
      </c>
      <c r="D32" s="66">
        <f>SUM(B32:C32)</f>
        <v>1321704.54</v>
      </c>
      <c r="E32" s="34"/>
      <c r="F32" s="64">
        <v>0.1</v>
      </c>
      <c r="G32" s="65">
        <f>B27+H27</f>
        <v>1321704.5400000003</v>
      </c>
      <c r="H32" s="65">
        <f>85534.1+247038.7</f>
        <v>332572.80000000005</v>
      </c>
      <c r="I32" s="66">
        <f>SUM(G32:H32)</f>
        <v>1654277.3400000003</v>
      </c>
      <c r="K32" s="34"/>
      <c r="L32" s="64">
        <v>0.1</v>
      </c>
      <c r="M32" s="65">
        <f>1850290.63-13158.01</f>
        <v>1837132.6199999999</v>
      </c>
      <c r="N32" s="65">
        <v>307276.61</v>
      </c>
      <c r="O32" s="65">
        <f>SUM(M32:N32)</f>
        <v>2144409.23</v>
      </c>
      <c r="P32" s="79">
        <f>O32*10/100</f>
        <v>214440.92300000001</v>
      </c>
      <c r="Q32" s="66">
        <f>O32+P32</f>
        <v>2358850.1529999999</v>
      </c>
      <c r="R32" s="77">
        <v>214440.89</v>
      </c>
      <c r="S32" s="76">
        <f>P32-R32</f>
        <v>3.2999999995809048E-2</v>
      </c>
      <c r="V32" s="24"/>
    </row>
    <row r="33" spans="1:22" x14ac:dyDescent="0.3">
      <c r="A33" s="64">
        <v>0.2</v>
      </c>
      <c r="B33" s="65">
        <v>370369.3</v>
      </c>
      <c r="C33" s="65">
        <v>436003.66</v>
      </c>
      <c r="D33" s="66">
        <f>SUM(B33:C33)</f>
        <v>806372.96</v>
      </c>
      <c r="F33" s="64">
        <v>0.2</v>
      </c>
      <c r="G33" s="65">
        <f>E27+N27+K27</f>
        <v>806372.96</v>
      </c>
      <c r="H33" s="65"/>
      <c r="I33" s="66">
        <f>SUM(G33:H33)</f>
        <v>806372.96</v>
      </c>
      <c r="L33" s="64">
        <v>0.2</v>
      </c>
      <c r="M33" s="65">
        <f>1119708.29-7826.01</f>
        <v>1111882.28</v>
      </c>
      <c r="N33" s="65">
        <v>0</v>
      </c>
      <c r="O33" s="65">
        <f>SUM(M33:N33)</f>
        <v>1111882.28</v>
      </c>
      <c r="P33" s="79">
        <f>O33*20/100</f>
        <v>222376.45600000001</v>
      </c>
      <c r="Q33" s="66">
        <f>O33+P33</f>
        <v>1334258.736</v>
      </c>
      <c r="R33" s="78">
        <v>222376.54</v>
      </c>
      <c r="S33" s="76">
        <f>R33-P33</f>
        <v>8.4000000002561137E-2</v>
      </c>
      <c r="V33" s="24"/>
    </row>
    <row r="34" spans="1:22" x14ac:dyDescent="0.3">
      <c r="A34" s="67" t="s">
        <v>45</v>
      </c>
      <c r="B34" s="65">
        <v>611407</v>
      </c>
      <c r="C34" s="65">
        <v>471170</v>
      </c>
      <c r="D34" s="66">
        <f>SUM(B34:C34)</f>
        <v>1082577</v>
      </c>
      <c r="F34" s="67" t="s">
        <v>55</v>
      </c>
      <c r="G34" s="65">
        <f>T27+U27</f>
        <v>1099197</v>
      </c>
      <c r="H34" s="65">
        <v>3531.5</v>
      </c>
      <c r="I34" s="66">
        <f>SUM(G34:H34)</f>
        <v>1102728.5</v>
      </c>
      <c r="L34" s="67"/>
      <c r="M34" s="65">
        <f>X27</f>
        <v>0</v>
      </c>
      <c r="N34" s="65"/>
      <c r="O34" s="65"/>
      <c r="P34" s="79"/>
      <c r="Q34" s="66">
        <f>SUM(O34:P34)</f>
        <v>0</v>
      </c>
      <c r="S34" s="31"/>
      <c r="V34" s="24"/>
    </row>
    <row r="35" spans="1:22" x14ac:dyDescent="0.3">
      <c r="A35" s="67"/>
      <c r="B35" s="68"/>
      <c r="C35" s="69" t="s">
        <v>43</v>
      </c>
      <c r="D35" s="70">
        <f>SUM(D32:D34)</f>
        <v>3210654.5</v>
      </c>
      <c r="F35" s="67"/>
      <c r="G35" s="68"/>
      <c r="H35" s="69" t="s">
        <v>43</v>
      </c>
      <c r="I35" s="70">
        <f>SUM(I32:I34)</f>
        <v>3563378.8000000003</v>
      </c>
      <c r="J35" s="34">
        <f>I35-E52</f>
        <v>16620.000000000466</v>
      </c>
      <c r="L35" s="67"/>
      <c r="M35" s="65">
        <f>SUM(M32:M34)</f>
        <v>2949014.9</v>
      </c>
      <c r="N35" s="69" t="s">
        <v>43</v>
      </c>
      <c r="O35" s="69" t="s">
        <v>43</v>
      </c>
      <c r="P35" s="69" t="s">
        <v>43</v>
      </c>
      <c r="Q35" s="70">
        <f>SUM(Q32:Q34)</f>
        <v>3693108.889</v>
      </c>
      <c r="S35" s="31"/>
      <c r="V35" s="24"/>
    </row>
    <row r="36" spans="1:22" x14ac:dyDescent="0.3">
      <c r="A36" s="67" t="s">
        <v>6</v>
      </c>
      <c r="B36" s="65">
        <v>60893</v>
      </c>
      <c r="C36" s="65">
        <v>53067</v>
      </c>
      <c r="D36" s="66">
        <f t="shared" ref="D36:D37" si="15">SUM(B36:C36)</f>
        <v>113960</v>
      </c>
      <c r="F36" s="67" t="s">
        <v>6</v>
      </c>
      <c r="G36" s="65">
        <f>Q27+T27</f>
        <v>113960</v>
      </c>
      <c r="H36" s="65">
        <v>62882.5</v>
      </c>
      <c r="I36" s="66">
        <f t="shared" ref="I36:I38" si="16">SUM(G36:H36)</f>
        <v>176842.5</v>
      </c>
      <c r="J36" s="34"/>
      <c r="L36" s="67" t="s">
        <v>46</v>
      </c>
      <c r="M36" s="65">
        <v>127830</v>
      </c>
      <c r="N36" s="65">
        <f>3531.5+1900</f>
        <v>5431.5</v>
      </c>
      <c r="O36" s="65"/>
      <c r="P36" s="65"/>
      <c r="Q36" s="66">
        <f>SUM(M36:P36)</f>
        <v>133261.5</v>
      </c>
      <c r="S36" s="31"/>
      <c r="V36" s="24"/>
    </row>
    <row r="37" spans="1:22" x14ac:dyDescent="0.3">
      <c r="A37" s="67" t="s">
        <v>26</v>
      </c>
      <c r="B37" s="65">
        <v>1637764</v>
      </c>
      <c r="C37" s="65">
        <v>1458930.5</v>
      </c>
      <c r="D37" s="66">
        <f t="shared" si="15"/>
        <v>3096694.5</v>
      </c>
      <c r="F37" s="67" t="s">
        <v>26</v>
      </c>
      <c r="G37" s="65">
        <f>S27+R27+U27</f>
        <v>3113314.5</v>
      </c>
      <c r="H37" s="65">
        <v>269690.3</v>
      </c>
      <c r="I37" s="66">
        <f t="shared" si="16"/>
        <v>3383004.8</v>
      </c>
      <c r="J37" s="34"/>
      <c r="L37" s="67" t="s">
        <v>47</v>
      </c>
      <c r="M37" s="65">
        <f>1087250+1040827.5+611407+471170</f>
        <v>3210654.5</v>
      </c>
      <c r="N37" s="65">
        <v>332572.79999999999</v>
      </c>
      <c r="O37" s="65"/>
      <c r="P37" s="65"/>
      <c r="Q37" s="66">
        <f>SUM(M37:P37)</f>
        <v>3543227.3</v>
      </c>
      <c r="R37" s="34"/>
      <c r="S37" s="31"/>
      <c r="V37" s="24"/>
    </row>
    <row r="38" spans="1:22" x14ac:dyDescent="0.3">
      <c r="A38" s="67"/>
      <c r="B38" s="65"/>
      <c r="C38" s="65"/>
      <c r="D38" s="66"/>
      <c r="F38" s="67" t="s">
        <v>51</v>
      </c>
      <c r="G38" s="65"/>
      <c r="H38" s="65">
        <v>3531.5</v>
      </c>
      <c r="I38" s="66">
        <f t="shared" si="16"/>
        <v>3531.5</v>
      </c>
      <c r="J38" s="34"/>
      <c r="L38" s="67"/>
      <c r="M38" s="65"/>
      <c r="N38" s="65"/>
      <c r="O38" s="65"/>
      <c r="P38" s="65"/>
      <c r="Q38" s="66"/>
      <c r="R38" s="34"/>
      <c r="S38" s="31"/>
      <c r="V38" s="24"/>
    </row>
    <row r="39" spans="1:22" x14ac:dyDescent="0.3">
      <c r="A39" s="67"/>
      <c r="B39" s="65"/>
      <c r="C39" s="69" t="s">
        <v>43</v>
      </c>
      <c r="D39" s="70">
        <f>SUM(D36:D37)</f>
        <v>3210654.5</v>
      </c>
      <c r="F39" s="67"/>
      <c r="G39" s="65"/>
      <c r="H39" s="69" t="s">
        <v>43</v>
      </c>
      <c r="I39" s="70">
        <f>SUM(I36:I38)</f>
        <v>3563378.8</v>
      </c>
      <c r="J39" s="34"/>
      <c r="L39" s="67"/>
      <c r="M39" s="65"/>
      <c r="N39" s="69" t="s">
        <v>43</v>
      </c>
      <c r="O39" s="69" t="s">
        <v>43</v>
      </c>
      <c r="P39" s="69" t="s">
        <v>43</v>
      </c>
      <c r="Q39" s="70">
        <f>SUM(Q36:Q37)</f>
        <v>3676488.8</v>
      </c>
      <c r="S39" s="31"/>
      <c r="V39" s="24"/>
    </row>
    <row r="40" spans="1:22" ht="15" thickBot="1" x14ac:dyDescent="0.35">
      <c r="A40" s="71"/>
      <c r="B40" s="72"/>
      <c r="C40" s="73" t="s">
        <v>17</v>
      </c>
      <c r="D40" s="74">
        <f>D39-D35</f>
        <v>0</v>
      </c>
      <c r="F40" s="71"/>
      <c r="G40" s="72"/>
      <c r="H40" s="73" t="s">
        <v>17</v>
      </c>
      <c r="I40" s="74">
        <f>I39-I35</f>
        <v>0</v>
      </c>
      <c r="L40" s="71"/>
      <c r="M40" s="72"/>
      <c r="N40" s="73" t="s">
        <v>17</v>
      </c>
      <c r="O40" s="73" t="s">
        <v>17</v>
      </c>
      <c r="P40" s="73" t="s">
        <v>17</v>
      </c>
      <c r="Q40" s="80">
        <f>Q35-Q39</f>
        <v>16620.089000000153</v>
      </c>
      <c r="S40" s="31"/>
      <c r="V40" s="24"/>
    </row>
    <row r="41" spans="1:22" x14ac:dyDescent="0.3">
      <c r="F41" s="75" t="s">
        <v>48</v>
      </c>
      <c r="L41" s="75" t="s">
        <v>48</v>
      </c>
      <c r="S41" s="31"/>
      <c r="V41" s="24"/>
    </row>
    <row r="42" spans="1:22" x14ac:dyDescent="0.3">
      <c r="Q42" s="34"/>
      <c r="S42" s="31"/>
      <c r="V42" s="24"/>
    </row>
    <row r="43" spans="1:22" x14ac:dyDescent="0.3">
      <c r="S43" s="31"/>
      <c r="V43" s="24"/>
    </row>
    <row r="44" spans="1:22" x14ac:dyDescent="0.3">
      <c r="S44" s="31"/>
      <c r="V44" s="24"/>
    </row>
    <row r="45" spans="1:22" ht="15" thickBot="1" x14ac:dyDescent="0.35"/>
    <row r="46" spans="1:22" x14ac:dyDescent="0.3">
      <c r="A46" s="57" t="s">
        <v>38</v>
      </c>
      <c r="B46" s="58"/>
      <c r="C46" s="58"/>
      <c r="D46" s="59"/>
      <c r="E46" s="59"/>
    </row>
    <row r="47" spans="1:22" x14ac:dyDescent="0.3">
      <c r="A47" s="61"/>
      <c r="B47" s="62" t="s">
        <v>41</v>
      </c>
      <c r="C47" s="62" t="s">
        <v>42</v>
      </c>
      <c r="D47" s="63" t="s">
        <v>50</v>
      </c>
      <c r="E47" s="63" t="s">
        <v>43</v>
      </c>
    </row>
    <row r="48" spans="1:22" x14ac:dyDescent="0.3">
      <c r="A48" s="64">
        <v>0.1</v>
      </c>
      <c r="B48" s="65">
        <v>716880.7</v>
      </c>
      <c r="C48" s="65">
        <v>604823.84</v>
      </c>
      <c r="D48" s="66">
        <v>332572.79999999999</v>
      </c>
      <c r="E48" s="66">
        <f>SUM(B48:D48)</f>
        <v>1654277.34</v>
      </c>
    </row>
    <row r="49" spans="1:6" x14ac:dyDescent="0.3">
      <c r="A49" s="64">
        <v>0.2</v>
      </c>
      <c r="B49" s="65">
        <v>370369.3</v>
      </c>
      <c r="C49" s="65">
        <v>436003.66</v>
      </c>
      <c r="D49" s="66">
        <v>0</v>
      </c>
      <c r="E49" s="66">
        <f t="shared" ref="E49:E51" si="17">SUM(B49:D49)</f>
        <v>806372.96</v>
      </c>
    </row>
    <row r="50" spans="1:6" x14ac:dyDescent="0.3">
      <c r="A50" s="67" t="s">
        <v>45</v>
      </c>
      <c r="B50" s="65">
        <v>611407</v>
      </c>
      <c r="C50" s="65">
        <v>471170</v>
      </c>
      <c r="D50" s="66">
        <v>0</v>
      </c>
      <c r="E50" s="66">
        <f t="shared" si="17"/>
        <v>1082577</v>
      </c>
    </row>
    <row r="51" spans="1:6" x14ac:dyDescent="0.3">
      <c r="A51" s="67" t="s">
        <v>51</v>
      </c>
      <c r="B51" s="65">
        <v>0</v>
      </c>
      <c r="C51" s="65">
        <v>0</v>
      </c>
      <c r="D51" s="66">
        <v>3531.5</v>
      </c>
      <c r="E51" s="66">
        <f t="shared" si="17"/>
        <v>3531.5</v>
      </c>
    </row>
    <row r="52" spans="1:6" x14ac:dyDescent="0.3">
      <c r="A52" s="67"/>
      <c r="B52" s="68"/>
      <c r="C52" s="69" t="s">
        <v>43</v>
      </c>
      <c r="D52" s="70">
        <f>SUM(D48:D51)</f>
        <v>336104.3</v>
      </c>
      <c r="E52" s="70">
        <f>SUM(E48:E51)</f>
        <v>3546758.8</v>
      </c>
    </row>
    <row r="53" spans="1:6" x14ac:dyDescent="0.3">
      <c r="A53" s="67" t="s">
        <v>6</v>
      </c>
      <c r="B53" s="65">
        <v>60893</v>
      </c>
      <c r="C53" s="65">
        <v>53067</v>
      </c>
      <c r="D53" s="66">
        <v>62882.5</v>
      </c>
      <c r="E53" s="66">
        <f>SUM(B53:D53)</f>
        <v>176842.5</v>
      </c>
    </row>
    <row r="54" spans="1:6" x14ac:dyDescent="0.3">
      <c r="A54" s="67" t="s">
        <v>26</v>
      </c>
      <c r="B54" s="65">
        <v>1637764</v>
      </c>
      <c r="C54" s="65">
        <v>1458930.5</v>
      </c>
      <c r="D54" s="66">
        <v>269690.3</v>
      </c>
      <c r="E54" s="66">
        <f>SUM(B54:D54)</f>
        <v>3366384.8</v>
      </c>
    </row>
    <row r="55" spans="1:6" x14ac:dyDescent="0.3">
      <c r="A55" s="67"/>
      <c r="B55" s="65"/>
      <c r="C55" s="69" t="s">
        <v>43</v>
      </c>
      <c r="D55" s="70">
        <f>SUM(D53:D54)</f>
        <v>332572.79999999999</v>
      </c>
      <c r="E55" s="70">
        <f>SUM(E53:E54)</f>
        <v>3543227.3</v>
      </c>
    </row>
    <row r="56" spans="1:6" ht="15" thickBot="1" x14ac:dyDescent="0.35">
      <c r="A56" s="71"/>
      <c r="B56" s="72"/>
      <c r="C56" s="73" t="s">
        <v>17</v>
      </c>
      <c r="D56" s="74">
        <f>D55-D52</f>
        <v>-3531.5</v>
      </c>
      <c r="E56" s="74">
        <f>E55-E52</f>
        <v>-3531.5</v>
      </c>
      <c r="F56" s="85" t="s">
        <v>52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2025-02-06T13:54:42Z</cp:lastPrinted>
  <dcterms:created xsi:type="dcterms:W3CDTF">2023-03-28T06:21:12Z</dcterms:created>
  <dcterms:modified xsi:type="dcterms:W3CDTF">2025-03-20T10:24:19Z</dcterms:modified>
  <cp:category/>
  <cp:contentStatus/>
</cp:coreProperties>
</file>